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slicers/slicer2.xml" ContentType="application/vnd.ms-excel.slicer+xml"/>
  <Override PartName="/xl/timelines/timeline2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itto\OneDrive\Documentos\GUADA\CODER HOUSE\EXCEL\"/>
    </mc:Choice>
  </mc:AlternateContent>
  <xr:revisionPtr revIDLastSave="0" documentId="13_ncr:1_{7E82FB7B-07D6-407C-B969-20EA1BBDF636}" xr6:coauthVersionLast="47" xr6:coauthVersionMax="47" xr10:uidLastSave="{00000000-0000-0000-0000-000000000000}"/>
  <bookViews>
    <workbookView xWindow="-120" yWindow="-120" windowWidth="28065" windowHeight="16440" tabRatio="727" firstSheet="5" activeTab="14" xr2:uid="{47E4C204-F3DB-4BE7-A619-011D3334EE83}"/>
  </bookViews>
  <sheets>
    <sheet name="Storytelling" sheetId="4" r:id="rId1"/>
    <sheet name="Base de datos sin trabajar" sheetId="6" r:id="rId2"/>
    <sheet name="Base de datos" sheetId="2" r:id="rId3"/>
    <sheet name="Preguntas y respuestas" sheetId="7" r:id="rId4"/>
    <sheet name="Rango etareo" sheetId="8" r:id="rId5"/>
    <sheet name="ARRESTOS" sheetId="19" r:id="rId6"/>
    <sheet name="ARMAS" sheetId="20" r:id="rId7"/>
    <sheet name="Paleta colores" sheetId="10" r:id="rId8"/>
    <sheet name="Barrios" sheetId="11" r:id="rId9"/>
    <sheet name="Data delincuentes" sheetId="12" r:id="rId10"/>
    <sheet name="Data victimas" sheetId="15" r:id="rId11"/>
    <sheet name="Tipos de delitos x año" sheetId="13" r:id="rId12"/>
    <sheet name="Delitos por día de la semana" sheetId="21" r:id="rId13"/>
    <sheet name="Franja horaria" sheetId="17" r:id="rId14"/>
    <sheet name="Dashboard" sheetId="9" r:id="rId15"/>
  </sheets>
  <definedNames>
    <definedName name="_xlcn.WorksheetConnection_BasededatosQS" hidden="1">'Base de datos'!$Q:$S</definedName>
    <definedName name="_xlcn.WorksheetConnection_crimenes_cordoba_ampliado" hidden="1">crimenes_cordoba_ampliado[]</definedName>
    <definedName name="_xlcn.WorksheetConnection_Tabla5" hidden="1">Tabla5[]</definedName>
    <definedName name="DatosExternos_1" localSheetId="2" hidden="1">'Base de datos'!$A$1:$AC$1001</definedName>
    <definedName name="NativeTimeline_AÑO">#N/A</definedName>
    <definedName name="SegmentaciónDeDatos_Años">#N/A</definedName>
    <definedName name="SegmentaciónDeDatos_DÍA">#N/A</definedName>
    <definedName name="SegmentaciónDeDatos_Tipo_de_delito">#N/A</definedName>
    <definedName name="SegmentaciónDeDatos_Ubicación">#N/A</definedName>
  </definedNames>
  <calcPr calcId="191029"/>
  <pivotCaches>
    <pivotCache cacheId="0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5" name="Tabla5" connection="WorksheetConnection_Tabla5"/>
          <x15:modelTable id="crimenes_cordoba_ampliado" name="crimenes_cordoba_ampliado" connection="WorksheetConnection_crimenes_cordoba_ampliado"/>
          <x15:modelTable id="Rango" name="Rango" connection="WorksheetConnection_Base de datos!$Q:$S"/>
        </x15:modelTables>
        <x15:extLst>
          <ext xmlns:x16="http://schemas.microsoft.com/office/spreadsheetml/2014/11/main" uri="{9835A34E-60A6-4A7C-AAB8-D5F71C897F49}">
            <x16:modelTimeGroupings>
              <x16:modelTimeGrouping tableName="crimenes_cordoba_ampliado" columnName="Fecha" columnId="Fecha">
                <x16:calculatedTimeColumn columnName="Fecha (año)" columnId="Fecha (año)" contentType="years" isSelected="1"/>
                <x16:calculatedTimeColumn columnName="Fecha (trimestre)" columnId="Fecha (trimestre)" contentType="quarters" isSelected="1"/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" i="2" l="1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B506" i="2"/>
  <c r="AB507" i="2"/>
  <c r="AB508" i="2"/>
  <c r="AB509" i="2"/>
  <c r="AB510" i="2"/>
  <c r="AB511" i="2"/>
  <c r="AB512" i="2"/>
  <c r="AB513" i="2"/>
  <c r="AB514" i="2"/>
  <c r="AB515" i="2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29" i="2"/>
  <c r="AB530" i="2"/>
  <c r="AB531" i="2"/>
  <c r="AB532" i="2"/>
  <c r="AB533" i="2"/>
  <c r="AB534" i="2"/>
  <c r="AB535" i="2"/>
  <c r="AB536" i="2"/>
  <c r="AB537" i="2"/>
  <c r="AB538" i="2"/>
  <c r="AB539" i="2"/>
  <c r="AB540" i="2"/>
  <c r="AB541" i="2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63" i="2"/>
  <c r="AB564" i="2"/>
  <c r="AB565" i="2"/>
  <c r="AB566" i="2"/>
  <c r="AB567" i="2"/>
  <c r="AB568" i="2"/>
  <c r="AB569" i="2"/>
  <c r="AB570" i="2"/>
  <c r="AB571" i="2"/>
  <c r="AB572" i="2"/>
  <c r="AB573" i="2"/>
  <c r="AB574" i="2"/>
  <c r="AB575" i="2"/>
  <c r="AB576" i="2"/>
  <c r="AB577" i="2"/>
  <c r="AB578" i="2"/>
  <c r="AB579" i="2"/>
  <c r="AB580" i="2"/>
  <c r="AB581" i="2"/>
  <c r="AB582" i="2"/>
  <c r="AB583" i="2"/>
  <c r="AB584" i="2"/>
  <c r="AB585" i="2"/>
  <c r="AB586" i="2"/>
  <c r="AB587" i="2"/>
  <c r="AB588" i="2"/>
  <c r="AB589" i="2"/>
  <c r="AB590" i="2"/>
  <c r="AB591" i="2"/>
  <c r="AB592" i="2"/>
  <c r="AB593" i="2"/>
  <c r="AB594" i="2"/>
  <c r="AB595" i="2"/>
  <c r="AB596" i="2"/>
  <c r="AB597" i="2"/>
  <c r="AB598" i="2"/>
  <c r="AB599" i="2"/>
  <c r="AB600" i="2"/>
  <c r="AB601" i="2"/>
  <c r="AB602" i="2"/>
  <c r="AB603" i="2"/>
  <c r="AB604" i="2"/>
  <c r="AB605" i="2"/>
  <c r="AB606" i="2"/>
  <c r="AB607" i="2"/>
  <c r="AB608" i="2"/>
  <c r="AB609" i="2"/>
  <c r="AB610" i="2"/>
  <c r="AB611" i="2"/>
  <c r="AB612" i="2"/>
  <c r="AB613" i="2"/>
  <c r="AB614" i="2"/>
  <c r="AB615" i="2"/>
  <c r="AB616" i="2"/>
  <c r="AB617" i="2"/>
  <c r="AB618" i="2"/>
  <c r="AB619" i="2"/>
  <c r="AB620" i="2"/>
  <c r="AB621" i="2"/>
  <c r="AB622" i="2"/>
  <c r="AB623" i="2"/>
  <c r="AB624" i="2"/>
  <c r="AB625" i="2"/>
  <c r="AB626" i="2"/>
  <c r="AB627" i="2"/>
  <c r="AB628" i="2"/>
  <c r="AB629" i="2"/>
  <c r="AB630" i="2"/>
  <c r="AB631" i="2"/>
  <c r="AB632" i="2"/>
  <c r="AB633" i="2"/>
  <c r="AB634" i="2"/>
  <c r="AB635" i="2"/>
  <c r="AB636" i="2"/>
  <c r="AB637" i="2"/>
  <c r="AB638" i="2"/>
  <c r="AB639" i="2"/>
  <c r="AB640" i="2"/>
  <c r="AB641" i="2"/>
  <c r="AB642" i="2"/>
  <c r="AB643" i="2"/>
  <c r="AB644" i="2"/>
  <c r="AB645" i="2"/>
  <c r="AB646" i="2"/>
  <c r="AB647" i="2"/>
  <c r="AB648" i="2"/>
  <c r="AB649" i="2"/>
  <c r="AB650" i="2"/>
  <c r="AB651" i="2"/>
  <c r="AB652" i="2"/>
  <c r="AB653" i="2"/>
  <c r="AB654" i="2"/>
  <c r="AB655" i="2"/>
  <c r="AB656" i="2"/>
  <c r="AB657" i="2"/>
  <c r="AB658" i="2"/>
  <c r="AB659" i="2"/>
  <c r="AB660" i="2"/>
  <c r="AB661" i="2"/>
  <c r="AB662" i="2"/>
  <c r="AB663" i="2"/>
  <c r="AB664" i="2"/>
  <c r="AB665" i="2"/>
  <c r="AB666" i="2"/>
  <c r="AB667" i="2"/>
  <c r="AB668" i="2"/>
  <c r="AB669" i="2"/>
  <c r="AB670" i="2"/>
  <c r="AB671" i="2"/>
  <c r="AB672" i="2"/>
  <c r="AB673" i="2"/>
  <c r="AB674" i="2"/>
  <c r="AB675" i="2"/>
  <c r="AB676" i="2"/>
  <c r="AB677" i="2"/>
  <c r="AB678" i="2"/>
  <c r="AB679" i="2"/>
  <c r="AB680" i="2"/>
  <c r="AB681" i="2"/>
  <c r="AB682" i="2"/>
  <c r="AB683" i="2"/>
  <c r="AB684" i="2"/>
  <c r="AB685" i="2"/>
  <c r="AB686" i="2"/>
  <c r="AB687" i="2"/>
  <c r="AB688" i="2"/>
  <c r="AB689" i="2"/>
  <c r="AB690" i="2"/>
  <c r="AB691" i="2"/>
  <c r="AB692" i="2"/>
  <c r="AB693" i="2"/>
  <c r="AB694" i="2"/>
  <c r="AB695" i="2"/>
  <c r="AB696" i="2"/>
  <c r="AB697" i="2"/>
  <c r="AB698" i="2"/>
  <c r="AB699" i="2"/>
  <c r="AB700" i="2"/>
  <c r="AB701" i="2"/>
  <c r="AB702" i="2"/>
  <c r="AB703" i="2"/>
  <c r="AB704" i="2"/>
  <c r="AB705" i="2"/>
  <c r="AB706" i="2"/>
  <c r="AB707" i="2"/>
  <c r="AB708" i="2"/>
  <c r="AB709" i="2"/>
  <c r="AB710" i="2"/>
  <c r="AB711" i="2"/>
  <c r="AB712" i="2"/>
  <c r="AB713" i="2"/>
  <c r="AB714" i="2"/>
  <c r="AB715" i="2"/>
  <c r="AB716" i="2"/>
  <c r="AB717" i="2"/>
  <c r="AB718" i="2"/>
  <c r="AB719" i="2"/>
  <c r="AB720" i="2"/>
  <c r="AB721" i="2"/>
  <c r="AB722" i="2"/>
  <c r="AB723" i="2"/>
  <c r="AB724" i="2"/>
  <c r="AB725" i="2"/>
  <c r="AB726" i="2"/>
  <c r="AB727" i="2"/>
  <c r="AB728" i="2"/>
  <c r="AB729" i="2"/>
  <c r="AB730" i="2"/>
  <c r="AB731" i="2"/>
  <c r="AB732" i="2"/>
  <c r="AB733" i="2"/>
  <c r="AB734" i="2"/>
  <c r="AB735" i="2"/>
  <c r="AB736" i="2"/>
  <c r="AB737" i="2"/>
  <c r="AB738" i="2"/>
  <c r="AB739" i="2"/>
  <c r="AB740" i="2"/>
  <c r="AB741" i="2"/>
  <c r="AB742" i="2"/>
  <c r="AB743" i="2"/>
  <c r="AB744" i="2"/>
  <c r="AB745" i="2"/>
  <c r="AB746" i="2"/>
  <c r="AB747" i="2"/>
  <c r="AB748" i="2"/>
  <c r="AB749" i="2"/>
  <c r="AB750" i="2"/>
  <c r="AB751" i="2"/>
  <c r="AB752" i="2"/>
  <c r="AB753" i="2"/>
  <c r="AB754" i="2"/>
  <c r="AB755" i="2"/>
  <c r="AB756" i="2"/>
  <c r="AB757" i="2"/>
  <c r="AB758" i="2"/>
  <c r="AB759" i="2"/>
  <c r="AB760" i="2"/>
  <c r="AB761" i="2"/>
  <c r="AB762" i="2"/>
  <c r="AB763" i="2"/>
  <c r="AB764" i="2"/>
  <c r="AB765" i="2"/>
  <c r="AB766" i="2"/>
  <c r="AB767" i="2"/>
  <c r="AB768" i="2"/>
  <c r="AB769" i="2"/>
  <c r="AB770" i="2"/>
  <c r="AB771" i="2"/>
  <c r="AB772" i="2"/>
  <c r="AB773" i="2"/>
  <c r="AB774" i="2"/>
  <c r="AB775" i="2"/>
  <c r="AB776" i="2"/>
  <c r="AB777" i="2"/>
  <c r="AB778" i="2"/>
  <c r="AB779" i="2"/>
  <c r="AB780" i="2"/>
  <c r="AB781" i="2"/>
  <c r="AB782" i="2"/>
  <c r="AB783" i="2"/>
  <c r="AB784" i="2"/>
  <c r="AB785" i="2"/>
  <c r="AB786" i="2"/>
  <c r="AB787" i="2"/>
  <c r="AB788" i="2"/>
  <c r="AB789" i="2"/>
  <c r="AB790" i="2"/>
  <c r="AB791" i="2"/>
  <c r="AB792" i="2"/>
  <c r="AB793" i="2"/>
  <c r="AB794" i="2"/>
  <c r="AB795" i="2"/>
  <c r="AB796" i="2"/>
  <c r="AB797" i="2"/>
  <c r="AB798" i="2"/>
  <c r="AB799" i="2"/>
  <c r="AB800" i="2"/>
  <c r="AB801" i="2"/>
  <c r="AB802" i="2"/>
  <c r="AB803" i="2"/>
  <c r="AB804" i="2"/>
  <c r="AB805" i="2"/>
  <c r="AB806" i="2"/>
  <c r="AB807" i="2"/>
  <c r="AB808" i="2"/>
  <c r="AB809" i="2"/>
  <c r="AB810" i="2"/>
  <c r="AB811" i="2"/>
  <c r="AB812" i="2"/>
  <c r="AB813" i="2"/>
  <c r="AB814" i="2"/>
  <c r="AB815" i="2"/>
  <c r="AB816" i="2"/>
  <c r="AB817" i="2"/>
  <c r="AB818" i="2"/>
  <c r="AB819" i="2"/>
  <c r="AB820" i="2"/>
  <c r="AB821" i="2"/>
  <c r="AB822" i="2"/>
  <c r="AB823" i="2"/>
  <c r="AB824" i="2"/>
  <c r="AB825" i="2"/>
  <c r="AB826" i="2"/>
  <c r="AB827" i="2"/>
  <c r="AB828" i="2"/>
  <c r="AB829" i="2"/>
  <c r="AB830" i="2"/>
  <c r="AB831" i="2"/>
  <c r="AB832" i="2"/>
  <c r="AB833" i="2"/>
  <c r="AB834" i="2"/>
  <c r="AB835" i="2"/>
  <c r="AB836" i="2"/>
  <c r="AB837" i="2"/>
  <c r="AB838" i="2"/>
  <c r="AB839" i="2"/>
  <c r="AB840" i="2"/>
  <c r="AB841" i="2"/>
  <c r="AB842" i="2"/>
  <c r="AB843" i="2"/>
  <c r="AB844" i="2"/>
  <c r="AB845" i="2"/>
  <c r="AB846" i="2"/>
  <c r="AB847" i="2"/>
  <c r="AB848" i="2"/>
  <c r="AB849" i="2"/>
  <c r="AB850" i="2"/>
  <c r="AB851" i="2"/>
  <c r="AB852" i="2"/>
  <c r="AB853" i="2"/>
  <c r="AB854" i="2"/>
  <c r="AB855" i="2"/>
  <c r="AB856" i="2"/>
  <c r="AB857" i="2"/>
  <c r="AB858" i="2"/>
  <c r="AB859" i="2"/>
  <c r="AB860" i="2"/>
  <c r="AB861" i="2"/>
  <c r="AB862" i="2"/>
  <c r="AB863" i="2"/>
  <c r="AB864" i="2"/>
  <c r="AB865" i="2"/>
  <c r="AB866" i="2"/>
  <c r="AB867" i="2"/>
  <c r="AB868" i="2"/>
  <c r="AB869" i="2"/>
  <c r="AB870" i="2"/>
  <c r="AB871" i="2"/>
  <c r="AB872" i="2"/>
  <c r="AB873" i="2"/>
  <c r="AB874" i="2"/>
  <c r="AB875" i="2"/>
  <c r="AB876" i="2"/>
  <c r="AB877" i="2"/>
  <c r="AB878" i="2"/>
  <c r="AB879" i="2"/>
  <c r="AB880" i="2"/>
  <c r="AB881" i="2"/>
  <c r="AB882" i="2"/>
  <c r="AB883" i="2"/>
  <c r="AB884" i="2"/>
  <c r="AB885" i="2"/>
  <c r="AB886" i="2"/>
  <c r="AB887" i="2"/>
  <c r="AB888" i="2"/>
  <c r="AB889" i="2"/>
  <c r="AB890" i="2"/>
  <c r="AB891" i="2"/>
  <c r="AB892" i="2"/>
  <c r="AB893" i="2"/>
  <c r="AB894" i="2"/>
  <c r="AB895" i="2"/>
  <c r="AB896" i="2"/>
  <c r="AB897" i="2"/>
  <c r="AB898" i="2"/>
  <c r="AB899" i="2"/>
  <c r="AB900" i="2"/>
  <c r="AB901" i="2"/>
  <c r="AB902" i="2"/>
  <c r="AB903" i="2"/>
  <c r="AB904" i="2"/>
  <c r="AB905" i="2"/>
  <c r="AB906" i="2"/>
  <c r="AB907" i="2"/>
  <c r="AB908" i="2"/>
  <c r="AB909" i="2"/>
  <c r="AB910" i="2"/>
  <c r="AB911" i="2"/>
  <c r="AB912" i="2"/>
  <c r="AB913" i="2"/>
  <c r="AB914" i="2"/>
  <c r="AB915" i="2"/>
  <c r="AB916" i="2"/>
  <c r="AB917" i="2"/>
  <c r="AB918" i="2"/>
  <c r="AB919" i="2"/>
  <c r="AB920" i="2"/>
  <c r="AB921" i="2"/>
  <c r="AB922" i="2"/>
  <c r="AB923" i="2"/>
  <c r="AB924" i="2"/>
  <c r="AB925" i="2"/>
  <c r="AB926" i="2"/>
  <c r="AB927" i="2"/>
  <c r="AB928" i="2"/>
  <c r="AB929" i="2"/>
  <c r="AB930" i="2"/>
  <c r="AB931" i="2"/>
  <c r="AB932" i="2"/>
  <c r="AB933" i="2"/>
  <c r="AB934" i="2"/>
  <c r="AB935" i="2"/>
  <c r="AB936" i="2"/>
  <c r="AB937" i="2"/>
  <c r="AB938" i="2"/>
  <c r="AB939" i="2"/>
  <c r="AB940" i="2"/>
  <c r="AB941" i="2"/>
  <c r="AB942" i="2"/>
  <c r="AB943" i="2"/>
  <c r="AB944" i="2"/>
  <c r="AB945" i="2"/>
  <c r="AB946" i="2"/>
  <c r="AB947" i="2"/>
  <c r="AB948" i="2"/>
  <c r="AB949" i="2"/>
  <c r="AB950" i="2"/>
  <c r="AB951" i="2"/>
  <c r="AB952" i="2"/>
  <c r="AB953" i="2"/>
  <c r="AB954" i="2"/>
  <c r="AB955" i="2"/>
  <c r="AB956" i="2"/>
  <c r="AB957" i="2"/>
  <c r="AB958" i="2"/>
  <c r="AB959" i="2"/>
  <c r="AB960" i="2"/>
  <c r="AB961" i="2"/>
  <c r="AB962" i="2"/>
  <c r="AB963" i="2"/>
  <c r="AB964" i="2"/>
  <c r="AB965" i="2"/>
  <c r="AB966" i="2"/>
  <c r="AB967" i="2"/>
  <c r="AB968" i="2"/>
  <c r="AB969" i="2"/>
  <c r="AB970" i="2"/>
  <c r="AB971" i="2"/>
  <c r="AB972" i="2"/>
  <c r="AB973" i="2"/>
  <c r="AB974" i="2"/>
  <c r="AB975" i="2"/>
  <c r="AB976" i="2"/>
  <c r="AB977" i="2"/>
  <c r="AB978" i="2"/>
  <c r="AB979" i="2"/>
  <c r="AB980" i="2"/>
  <c r="AB981" i="2"/>
  <c r="AB982" i="2"/>
  <c r="AB983" i="2"/>
  <c r="AB984" i="2"/>
  <c r="AB985" i="2"/>
  <c r="AB986" i="2"/>
  <c r="AB987" i="2"/>
  <c r="AB988" i="2"/>
  <c r="AB989" i="2"/>
  <c r="AB990" i="2"/>
  <c r="AB991" i="2"/>
  <c r="AB992" i="2"/>
  <c r="AB993" i="2"/>
  <c r="AB994" i="2"/>
  <c r="AB995" i="2"/>
  <c r="AB996" i="2"/>
  <c r="AB997" i="2"/>
  <c r="AB998" i="2"/>
  <c r="AB999" i="2"/>
  <c r="AB1000" i="2"/>
  <c r="AB1001" i="2"/>
  <c r="AB2" i="2"/>
  <c r="N14" i="21"/>
  <c r="E32" i="13"/>
  <c r="C34" i="13"/>
  <c r="C23" i="13"/>
  <c r="C24" i="13"/>
  <c r="C25" i="13"/>
  <c r="C26" i="13"/>
  <c r="C27" i="13"/>
  <c r="C28" i="13"/>
  <c r="C29" i="13"/>
  <c r="C30" i="13"/>
  <c r="C22" i="13"/>
  <c r="I12" i="20"/>
  <c r="J12" i="20"/>
  <c r="K12" i="20"/>
  <c r="L12" i="20"/>
  <c r="H12" i="20"/>
  <c r="M13" i="20"/>
  <c r="M14" i="20" s="1"/>
  <c r="F34" i="19"/>
  <c r="B34" i="19"/>
  <c r="D22" i="19"/>
  <c r="D23" i="19"/>
  <c r="D24" i="19"/>
  <c r="D25" i="19"/>
  <c r="D26" i="19"/>
  <c r="D27" i="19"/>
  <c r="D28" i="19"/>
  <c r="D29" i="19"/>
  <c r="D21" i="19"/>
  <c r="A22" i="19"/>
  <c r="A23" i="19"/>
  <c r="A24" i="19"/>
  <c r="A25" i="19"/>
  <c r="A26" i="19"/>
  <c r="A27" i="19"/>
  <c r="A28" i="19"/>
  <c r="A29" i="19"/>
  <c r="A21" i="19"/>
  <c r="D13" i="11"/>
  <c r="D12" i="11"/>
  <c r="D11" i="11"/>
  <c r="D10" i="11"/>
  <c r="D9" i="11"/>
  <c r="D8" i="11"/>
  <c r="D7" i="11"/>
  <c r="D6" i="11"/>
  <c r="D5" i="11"/>
  <c r="D4" i="11"/>
  <c r="D3" i="11"/>
  <c r="D2" i="11"/>
  <c r="N254" i="2"/>
  <c r="D2" i="2"/>
  <c r="D3" i="2"/>
  <c r="D5" i="2"/>
  <c r="D9" i="2"/>
  <c r="D822" i="2"/>
  <c r="D110" i="2"/>
  <c r="D11" i="2"/>
  <c r="D439" i="2"/>
  <c r="D12" i="2"/>
  <c r="D534" i="2"/>
  <c r="D802" i="2"/>
  <c r="D15" i="2"/>
  <c r="D16" i="2"/>
  <c r="D17" i="2"/>
  <c r="D826" i="2"/>
  <c r="D21" i="2"/>
  <c r="D22" i="2"/>
  <c r="D261" i="2"/>
  <c r="D644" i="2"/>
  <c r="D25" i="2"/>
  <c r="D113" i="2"/>
  <c r="D551" i="2"/>
  <c r="D740" i="2"/>
  <c r="D718" i="2"/>
  <c r="D26" i="2"/>
  <c r="D28" i="2"/>
  <c r="D29" i="2"/>
  <c r="D30" i="2"/>
  <c r="D730" i="2"/>
  <c r="D800" i="2"/>
  <c r="D32" i="2"/>
  <c r="D505" i="2"/>
  <c r="D36" i="2"/>
  <c r="D282" i="2"/>
  <c r="D37" i="2"/>
  <c r="D216" i="2"/>
  <c r="D38" i="2"/>
  <c r="D547" i="2"/>
  <c r="D39" i="2"/>
  <c r="D43" i="2"/>
  <c r="D764" i="2"/>
  <c r="D44" i="2"/>
  <c r="D45" i="2"/>
  <c r="D47" i="2"/>
  <c r="D24" i="2"/>
  <c r="D48" i="2"/>
  <c r="D49" i="2"/>
  <c r="D538" i="2"/>
  <c r="D52" i="2"/>
  <c r="D54" i="2"/>
  <c r="D662" i="2"/>
  <c r="D57" i="2"/>
  <c r="D460" i="2"/>
  <c r="D666" i="2"/>
  <c r="D609" i="2"/>
  <c r="D60" i="2"/>
  <c r="D127" i="2"/>
  <c r="D61" i="2"/>
  <c r="D66" i="2"/>
  <c r="D67" i="2"/>
  <c r="D8" i="2"/>
  <c r="D578" i="2"/>
  <c r="D68" i="2"/>
  <c r="D947" i="2"/>
  <c r="D69" i="2"/>
  <c r="D721" i="2"/>
  <c r="D70" i="2"/>
  <c r="D751" i="2"/>
  <c r="D716" i="2"/>
  <c r="D71" i="2"/>
  <c r="D76" i="2"/>
  <c r="D4" i="2"/>
  <c r="D77" i="2"/>
  <c r="D78" i="2"/>
  <c r="D81" i="2"/>
  <c r="D82" i="2"/>
  <c r="D977" i="2"/>
  <c r="D835" i="2"/>
  <c r="D806" i="2"/>
  <c r="D640" i="2"/>
  <c r="D350" i="2"/>
  <c r="D83" i="2"/>
  <c r="D781" i="2"/>
  <c r="D84" i="2"/>
  <c r="D743" i="2"/>
  <c r="D85" i="2"/>
  <c r="D378" i="2"/>
  <c r="D454" i="2"/>
  <c r="D813" i="2"/>
  <c r="D86" i="2"/>
  <c r="D89" i="2"/>
  <c r="D830" i="2"/>
  <c r="D90" i="2"/>
  <c r="D91" i="2"/>
  <c r="D92" i="2"/>
  <c r="D483" i="2"/>
  <c r="D97" i="2"/>
  <c r="D100" i="2"/>
  <c r="D648" i="2"/>
  <c r="D334" i="2"/>
  <c r="D101" i="2"/>
  <c r="D167" i="2"/>
  <c r="D860" i="2"/>
  <c r="D102" i="2"/>
  <c r="D103" i="2"/>
  <c r="D106" i="2"/>
  <c r="D107" i="2"/>
  <c r="D984" i="2"/>
  <c r="D397" i="2"/>
  <c r="D109" i="2"/>
  <c r="D117" i="2"/>
  <c r="D119" i="2"/>
  <c r="D120" i="2"/>
  <c r="D125" i="2"/>
  <c r="D788" i="2"/>
  <c r="D126" i="2"/>
  <c r="D346" i="2"/>
  <c r="D402" i="2"/>
  <c r="D53" i="2"/>
  <c r="D595" i="2"/>
  <c r="D318" i="2"/>
  <c r="D784" i="2"/>
  <c r="D129" i="2"/>
  <c r="D660" i="2"/>
  <c r="D294" i="2"/>
  <c r="D130" i="2"/>
  <c r="D250" i="2"/>
  <c r="D132" i="2"/>
  <c r="D418" i="2"/>
  <c r="D134" i="2"/>
  <c r="D815" i="2"/>
  <c r="D136" i="2"/>
  <c r="D137" i="2"/>
  <c r="D138" i="2"/>
  <c r="D140" i="2"/>
  <c r="D376" i="2"/>
  <c r="D143" i="2"/>
  <c r="D144" i="2"/>
  <c r="D464" i="2"/>
  <c r="D146" i="2"/>
  <c r="D147" i="2"/>
  <c r="D148" i="2"/>
  <c r="D150" i="2"/>
  <c r="D152" i="2"/>
  <c r="D153" i="2"/>
  <c r="D477" i="2"/>
  <c r="D634" i="2"/>
  <c r="D154" i="2"/>
  <c r="D178" i="2"/>
  <c r="D156" i="2"/>
  <c r="D158" i="2"/>
  <c r="D504" i="2"/>
  <c r="D164" i="2"/>
  <c r="D729" i="2"/>
  <c r="D247" i="2"/>
  <c r="D165" i="2"/>
  <c r="D166" i="2"/>
  <c r="D20" i="2"/>
  <c r="D168" i="2"/>
  <c r="D157" i="2"/>
  <c r="D170" i="2"/>
  <c r="D171" i="2"/>
  <c r="D982" i="2"/>
  <c r="D913" i="2"/>
  <c r="D172" i="2"/>
  <c r="D173" i="2"/>
  <c r="D176" i="2"/>
  <c r="D738" i="2"/>
  <c r="D344" i="2"/>
  <c r="D995" i="2"/>
  <c r="D177" i="2"/>
  <c r="D179" i="2"/>
  <c r="D633" i="2"/>
  <c r="D180" i="2"/>
  <c r="D183" i="2"/>
  <c r="D185" i="2"/>
  <c r="D902" i="2"/>
  <c r="D186" i="2"/>
  <c r="D41" i="2"/>
  <c r="D706" i="2"/>
  <c r="D587" i="2"/>
  <c r="D193" i="2"/>
  <c r="D194" i="2"/>
  <c r="D678" i="2"/>
  <c r="D292" i="2"/>
  <c r="D401" i="2"/>
  <c r="D195" i="2"/>
  <c r="D196" i="2"/>
  <c r="D163" i="2"/>
  <c r="D200" i="2"/>
  <c r="D204" i="2"/>
  <c r="D203" i="2"/>
  <c r="D206" i="2"/>
  <c r="D546" i="2"/>
  <c r="D753" i="2"/>
  <c r="D207" i="2"/>
  <c r="D133" i="2"/>
  <c r="D365" i="2"/>
  <c r="D93" i="2"/>
  <c r="D210" i="2"/>
  <c r="D878" i="2"/>
  <c r="D124" i="2"/>
  <c r="D211" i="2"/>
  <c r="D846" i="2"/>
  <c r="D281" i="2"/>
  <c r="D213" i="2"/>
  <c r="D214" i="2"/>
  <c r="D46" i="2"/>
  <c r="D215" i="2"/>
  <c r="D218" i="2"/>
  <c r="D702" i="2"/>
  <c r="D219" i="2"/>
  <c r="D246" i="2"/>
  <c r="D33" i="2"/>
  <c r="D220" i="2"/>
  <c r="D440" i="2"/>
  <c r="D112" i="2"/>
  <c r="D222" i="2"/>
  <c r="D518" i="2"/>
  <c r="D224" i="2"/>
  <c r="D226" i="2"/>
  <c r="D227" i="2"/>
  <c r="D626" i="2"/>
  <c r="D866" i="2"/>
  <c r="D229" i="2"/>
  <c r="D230" i="2"/>
  <c r="D205" i="2"/>
  <c r="D233" i="2"/>
  <c r="D234" i="2"/>
  <c r="D23" i="2"/>
  <c r="D237" i="2"/>
  <c r="D656" i="2"/>
  <c r="D235" i="2"/>
  <c r="D383" i="2"/>
  <c r="D202" i="2"/>
  <c r="D238" i="2"/>
  <c r="D240" i="2"/>
  <c r="D198" i="2"/>
  <c r="D904" i="2"/>
  <c r="D241" i="2"/>
  <c r="D242" i="2"/>
  <c r="D248" i="2"/>
  <c r="D690" i="2"/>
  <c r="D948" i="2"/>
  <c r="D253" i="2"/>
  <c r="D254" i="2"/>
  <c r="D257" i="2"/>
  <c r="D838" i="2"/>
  <c r="D258" i="2"/>
  <c r="D259" i="2"/>
  <c r="D262" i="2"/>
  <c r="D79" i="2"/>
  <c r="D264" i="2"/>
  <c r="D265" i="2"/>
  <c r="D653" i="2"/>
  <c r="D299" i="2"/>
  <c r="D268" i="2"/>
  <c r="D34" i="2"/>
  <c r="D272" i="2"/>
  <c r="D273" i="2"/>
  <c r="D275" i="2"/>
  <c r="D276" i="2"/>
  <c r="D335" i="2"/>
  <c r="D277" i="2"/>
  <c r="D278" i="2"/>
  <c r="D162" i="2"/>
  <c r="D131" i="2"/>
  <c r="D280" i="2"/>
  <c r="D954" i="2"/>
  <c r="D95" i="2"/>
  <c r="D283" i="2"/>
  <c r="D374" i="2"/>
  <c r="D286" i="2"/>
  <c r="D287" i="2"/>
  <c r="D288" i="2"/>
  <c r="D377" i="2"/>
  <c r="D255" i="2"/>
  <c r="D290" i="2"/>
  <c r="D295" i="2"/>
  <c r="D298" i="2"/>
  <c r="D301" i="2"/>
  <c r="D303" i="2"/>
  <c r="D562" i="2"/>
  <c r="D304" i="2"/>
  <c r="D305" i="2"/>
  <c r="D307" i="2"/>
  <c r="D308" i="2"/>
  <c r="D323" i="2"/>
  <c r="D727" i="2"/>
  <c r="D310" i="2"/>
  <c r="D312" i="2"/>
  <c r="D502" i="2"/>
  <c r="D314" i="2"/>
  <c r="D315" i="2"/>
  <c r="D42" i="2"/>
  <c r="D1001" i="2"/>
  <c r="D316" i="2"/>
  <c r="D317" i="2"/>
  <c r="D319" i="2"/>
  <c r="D320" i="2"/>
  <c r="D322" i="2"/>
  <c r="D324" i="2"/>
  <c r="D326" i="2"/>
  <c r="D327" i="2"/>
  <c r="D855" i="2"/>
  <c r="D330" i="2"/>
  <c r="D98" i="2"/>
  <c r="D332" i="2"/>
  <c r="D336" i="2"/>
  <c r="D964" i="2"/>
  <c r="D337" i="2"/>
  <c r="D486" i="2"/>
  <c r="D338" i="2"/>
  <c r="D342" i="2"/>
  <c r="D343" i="2"/>
  <c r="D711" i="2"/>
  <c r="D345" i="2"/>
  <c r="D456" i="2"/>
  <c r="D635" i="2"/>
  <c r="D760" i="2"/>
  <c r="D650" i="2"/>
  <c r="D347" i="2"/>
  <c r="D348" i="2"/>
  <c r="D484" i="2"/>
  <c r="D349" i="2"/>
  <c r="D627" i="2"/>
  <c r="D422" i="2"/>
  <c r="D352" i="2"/>
  <c r="D898" i="2"/>
  <c r="D354" i="2"/>
  <c r="D184" i="2"/>
  <c r="D355" i="2"/>
  <c r="D201" i="2"/>
  <c r="D356" i="2"/>
  <c r="D876" i="2"/>
  <c r="D359" i="2"/>
  <c r="D360" i="2"/>
  <c r="D340" i="2"/>
  <c r="D271" i="2"/>
  <c r="D361" i="2"/>
  <c r="D362" i="2"/>
  <c r="D363" i="2"/>
  <c r="D223" i="2"/>
  <c r="D364" i="2"/>
  <c r="D367" i="2"/>
  <c r="D369" i="2"/>
  <c r="D370" i="2"/>
  <c r="D771" i="2"/>
  <c r="D659" i="2"/>
  <c r="D64" i="2"/>
  <c r="D672" i="2"/>
  <c r="D351" i="2"/>
  <c r="D55" i="2"/>
  <c r="D243" i="2"/>
  <c r="D13" i="2"/>
  <c r="D703" i="2"/>
  <c r="D989" i="2"/>
  <c r="D728" i="2"/>
  <c r="D373" i="2"/>
  <c r="D772" i="2"/>
  <c r="D381" i="2"/>
  <c r="D384" i="2"/>
  <c r="D385" i="2"/>
  <c r="D386" i="2"/>
  <c r="D88" i="2"/>
  <c r="D40" i="2"/>
  <c r="D636" i="2"/>
  <c r="D228" i="2"/>
  <c r="D302" i="2"/>
  <c r="D663" i="2"/>
  <c r="D506" i="2"/>
  <c r="D447" i="2"/>
  <c r="D388" i="2"/>
  <c r="D399" i="2"/>
  <c r="D607" i="2"/>
  <c r="D389" i="2"/>
  <c r="D392" i="2"/>
  <c r="D657" i="2"/>
  <c r="D393" i="2"/>
  <c r="D555" i="2"/>
  <c r="D331" i="2"/>
  <c r="D394" i="2"/>
  <c r="D638" i="2"/>
  <c r="D723" i="2"/>
  <c r="D469" i="2"/>
  <c r="D570" i="2"/>
  <c r="D396" i="2"/>
  <c r="D705" i="2"/>
  <c r="D937" i="2"/>
  <c r="D404" i="2"/>
  <c r="D190" i="2"/>
  <c r="D121" i="2"/>
  <c r="D684" i="2"/>
  <c r="D407" i="2"/>
  <c r="D682" i="2"/>
  <c r="D409" i="2"/>
  <c r="D410" i="2"/>
  <c r="D411" i="2"/>
  <c r="D601" i="2"/>
  <c r="D736" i="2"/>
  <c r="D412" i="2"/>
  <c r="D118" i="2"/>
  <c r="D406" i="2"/>
  <c r="D413" i="2"/>
  <c r="D414" i="2"/>
  <c r="D517" i="2"/>
  <c r="D475" i="2"/>
  <c r="D379" i="2"/>
  <c r="D416" i="2"/>
  <c r="D617" i="2"/>
  <c r="D417" i="2"/>
  <c r="D260" i="2"/>
  <c r="D844" i="2"/>
  <c r="D421" i="2"/>
  <c r="D423" i="2"/>
  <c r="D425" i="2"/>
  <c r="D160" i="2"/>
  <c r="D175" i="2"/>
  <c r="D10" i="2"/>
  <c r="D426" i="2"/>
  <c r="D217" i="2"/>
  <c r="D35" i="2"/>
  <c r="D561" i="2"/>
  <c r="D427" i="2"/>
  <c r="D639" i="2"/>
  <c r="D429" i="2"/>
  <c r="D430" i="2"/>
  <c r="D270" i="2"/>
  <c r="D559" i="2"/>
  <c r="D744" i="2"/>
  <c r="D431" i="2"/>
  <c r="D433" i="2"/>
  <c r="D174" i="2"/>
  <c r="D434" i="2"/>
  <c r="D435" i="2"/>
  <c r="D541" i="2"/>
  <c r="D436" i="2"/>
  <c r="D497" i="2"/>
  <c r="D300" i="2"/>
  <c r="D437" i="2"/>
  <c r="D199" i="2"/>
  <c r="D438" i="2"/>
  <c r="D366" i="2"/>
  <c r="D916" i="2"/>
  <c r="D839" i="2"/>
  <c r="D313" i="2"/>
  <c r="D918" i="2"/>
  <c r="D58" i="2"/>
  <c r="D735" i="2"/>
  <c r="D442" i="2"/>
  <c r="D293" i="2"/>
  <c r="D443" i="2"/>
  <c r="D444" i="2"/>
  <c r="D403" i="2"/>
  <c r="D445" i="2"/>
  <c r="D525" i="2"/>
  <c r="D191" i="2"/>
  <c r="D569" i="2"/>
  <c r="D225" i="2"/>
  <c r="D450" i="2"/>
  <c r="D452" i="2"/>
  <c r="D94" i="2"/>
  <c r="D455" i="2"/>
  <c r="D975" i="2"/>
  <c r="D832" i="2"/>
  <c r="D457" i="2"/>
  <c r="D459" i="2"/>
  <c r="D197" i="2"/>
  <c r="D27" i="2"/>
  <c r="D461" i="2"/>
  <c r="D391" i="2"/>
  <c r="D793" i="2"/>
  <c r="D463" i="2"/>
  <c r="D465" i="2"/>
  <c r="D467" i="2"/>
  <c r="D519" i="2"/>
  <c r="D470" i="2"/>
  <c r="D474" i="2"/>
  <c r="D472" i="2"/>
  <c r="D478" i="2"/>
  <c r="D479" i="2"/>
  <c r="D449" i="2"/>
  <c r="D480" i="2"/>
  <c r="D482" i="2"/>
  <c r="D485" i="2"/>
  <c r="D161" i="2"/>
  <c r="D458" i="2"/>
  <c r="D487" i="2"/>
  <c r="D488" i="2"/>
  <c r="D489" i="2"/>
  <c r="D493" i="2"/>
  <c r="D424" i="2"/>
  <c r="D574" i="2"/>
  <c r="D768" i="2"/>
  <c r="D759" i="2"/>
  <c r="D289" i="2"/>
  <c r="D769" i="2"/>
  <c r="D496" i="2"/>
  <c r="D499" i="2"/>
  <c r="D891" i="2"/>
  <c r="D501" i="2"/>
  <c r="D395" i="2"/>
  <c r="D503" i="2"/>
  <c r="D632" i="2"/>
  <c r="D897" i="2"/>
  <c r="D508" i="2"/>
  <c r="D510" i="2"/>
  <c r="D511" i="2"/>
  <c r="D73" i="2"/>
  <c r="D529" i="2"/>
  <c r="D512" i="2"/>
  <c r="D515" i="2"/>
  <c r="D516" i="2"/>
  <c r="D99" i="2"/>
  <c r="D520" i="2"/>
  <c r="D521" i="2"/>
  <c r="D471" i="2"/>
  <c r="D523" i="2"/>
  <c r="D524" i="2"/>
  <c r="D526" i="2"/>
  <c r="D631" i="2"/>
  <c r="D530" i="2"/>
  <c r="D256" i="2"/>
  <c r="D531" i="2"/>
  <c r="D115" i="2"/>
  <c r="D532" i="2"/>
  <c r="D725" i="2"/>
  <c r="D731" i="2"/>
  <c r="D266" i="2"/>
  <c r="D189" i="2"/>
  <c r="D533" i="2"/>
  <c r="D535" i="2"/>
  <c r="D536" i="2"/>
  <c r="D537" i="2"/>
  <c r="D539" i="2"/>
  <c r="D542" i="2"/>
  <c r="D543" i="2"/>
  <c r="D545" i="2"/>
  <c r="D548" i="2"/>
  <c r="D828" i="2"/>
  <c r="D549" i="2"/>
  <c r="D552" i="2"/>
  <c r="D553" i="2"/>
  <c r="D554" i="2"/>
  <c r="D123" i="2"/>
  <c r="D31" i="2"/>
  <c r="D556" i="2"/>
  <c r="D611" i="2"/>
  <c r="D358" i="2"/>
  <c r="D557" i="2"/>
  <c r="D558" i="2"/>
  <c r="D565" i="2"/>
  <c r="D80" i="2"/>
  <c r="D567" i="2"/>
  <c r="D568" i="2"/>
  <c r="D415" i="2"/>
  <c r="D572" i="2"/>
  <c r="D192" i="2"/>
  <c r="D575" i="2"/>
  <c r="D576" i="2"/>
  <c r="D579" i="2"/>
  <c r="D600" i="2"/>
  <c r="D420" i="2"/>
  <c r="D581" i="2"/>
  <c r="D956" i="2"/>
  <c r="D582" i="2"/>
  <c r="D583" i="2"/>
  <c r="D448" i="2"/>
  <c r="D494" i="2"/>
  <c r="D584" i="2"/>
  <c r="D509" i="2"/>
  <c r="D630" i="2"/>
  <c r="D615" i="2"/>
  <c r="D585" i="2"/>
  <c r="D311" i="2"/>
  <c r="D586" i="2"/>
  <c r="D269" i="2"/>
  <c r="D589" i="2"/>
  <c r="D251" i="2"/>
  <c r="D590" i="2"/>
  <c r="D623" i="2"/>
  <c r="D894" i="2"/>
  <c r="D931" i="2"/>
  <c r="D592" i="2"/>
  <c r="D594" i="2"/>
  <c r="D145" i="2"/>
  <c r="D353" i="2"/>
  <c r="D333" i="2"/>
  <c r="D596" i="2"/>
  <c r="D936" i="2"/>
  <c r="D597" i="2"/>
  <c r="D598" i="2"/>
  <c r="D382" i="2"/>
  <c r="D573" i="2"/>
  <c r="D803" i="2"/>
  <c r="D599" i="2"/>
  <c r="D602" i="2"/>
  <c r="D708" i="2"/>
  <c r="D604" i="2"/>
  <c r="D51" i="2"/>
  <c r="D608" i="2"/>
  <c r="D610" i="2"/>
  <c r="D507" i="2"/>
  <c r="D108" i="2"/>
  <c r="D357" i="2"/>
  <c r="D325" i="2"/>
  <c r="D612" i="2"/>
  <c r="D613" i="2"/>
  <c r="D18" i="2"/>
  <c r="D476" i="2"/>
  <c r="D491" i="2"/>
  <c r="D616" i="2"/>
  <c r="D620" i="2"/>
  <c r="D111" i="2"/>
  <c r="D375" i="2"/>
  <c r="D513" i="2"/>
  <c r="D622" i="2"/>
  <c r="D804" i="2"/>
  <c r="D328" i="2"/>
  <c r="D779" i="2"/>
  <c r="D249" i="2"/>
  <c r="D306" i="2"/>
  <c r="D628" i="2"/>
  <c r="D665" i="2"/>
  <c r="D924" i="2"/>
  <c r="D641" i="2"/>
  <c r="D637" i="2"/>
  <c r="D719" i="2"/>
  <c r="D724" i="2"/>
  <c r="D642" i="2"/>
  <c r="D643" i="2"/>
  <c r="D991" i="2"/>
  <c r="D887" i="2"/>
  <c r="D646" i="2"/>
  <c r="D577" i="2"/>
  <c r="D647" i="2"/>
  <c r="D649" i="2"/>
  <c r="D603" i="2"/>
  <c r="D453" i="2"/>
  <c r="D651" i="2"/>
  <c r="D188" i="2"/>
  <c r="D466" i="2"/>
  <c r="D652" i="2"/>
  <c r="D655" i="2"/>
  <c r="D390" i="2"/>
  <c r="D661" i="2"/>
  <c r="D748" i="2"/>
  <c r="D996" i="2"/>
  <c r="D580" i="2"/>
  <c r="D667" i="2"/>
  <c r="D669" i="2"/>
  <c r="D339" i="2"/>
  <c r="D670" i="2"/>
  <c r="D671" i="2"/>
  <c r="D673" i="2"/>
  <c r="D6" i="2"/>
  <c r="D715" i="2"/>
  <c r="D462" i="2"/>
  <c r="D398" i="2"/>
  <c r="D674" i="2"/>
  <c r="D675" i="2"/>
  <c r="D677" i="2"/>
  <c r="D679" i="2"/>
  <c r="D680" i="2"/>
  <c r="D681" i="2"/>
  <c r="D629" i="2"/>
  <c r="D104" i="2"/>
  <c r="D988" i="2"/>
  <c r="D105" i="2"/>
  <c r="D676" i="2"/>
  <c r="D87" i="2"/>
  <c r="D135" i="2"/>
  <c r="D209" i="2"/>
  <c r="D683" i="2"/>
  <c r="D685" i="2"/>
  <c r="D686" i="2"/>
  <c r="D50" i="2"/>
  <c r="D688" i="2"/>
  <c r="D75" i="2"/>
  <c r="D244" i="2"/>
  <c r="D689" i="2"/>
  <c r="D816" i="2"/>
  <c r="D142" i="2"/>
  <c r="D151" i="2"/>
  <c r="D691" i="2"/>
  <c r="D693" i="2"/>
  <c r="D490" i="2"/>
  <c r="D694" i="2"/>
  <c r="D697" i="2"/>
  <c r="D149" i="2"/>
  <c r="D861" i="2"/>
  <c r="D885" i="2"/>
  <c r="D698" i="2"/>
  <c r="D994" i="2"/>
  <c r="D59" i="2"/>
  <c r="D699" i="2"/>
  <c r="D208" i="2"/>
  <c r="D701" i="2"/>
  <c r="D704" i="2"/>
  <c r="D707" i="2"/>
  <c r="D709" i="2"/>
  <c r="D710" i="2"/>
  <c r="D854" i="2"/>
  <c r="D713" i="2"/>
  <c r="D805" i="2"/>
  <c r="D291" i="2"/>
  <c r="D446" i="2"/>
  <c r="D890" i="2"/>
  <c r="D714" i="2"/>
  <c r="D722" i="2"/>
  <c r="D726" i="2"/>
  <c r="D732" i="2"/>
  <c r="D734" i="2"/>
  <c r="D786" i="2"/>
  <c r="D737" i="2"/>
  <c r="D739" i="2"/>
  <c r="D968" i="2"/>
  <c r="D741" i="2"/>
  <c r="D882" i="2"/>
  <c r="D122" i="2"/>
  <c r="D182" i="2"/>
  <c r="D742" i="2"/>
  <c r="D619" i="2"/>
  <c r="D745" i="2"/>
  <c r="D746" i="2"/>
  <c r="D159" i="2"/>
  <c r="D747" i="2"/>
  <c r="D749" i="2"/>
  <c r="D752" i="2"/>
  <c r="D754" i="2"/>
  <c r="D755" i="2"/>
  <c r="D371" i="2"/>
  <c r="D756" i="2"/>
  <c r="D757" i="2"/>
  <c r="D155" i="2"/>
  <c r="D621" i="2"/>
  <c r="D368" i="2"/>
  <c r="D96" i="2"/>
  <c r="D720" i="2"/>
  <c r="D808" i="2"/>
  <c r="D522" i="2"/>
  <c r="D695" i="2"/>
  <c r="D758" i="2"/>
  <c r="D761" i="2"/>
  <c r="D979" i="2"/>
  <c r="D971" i="2"/>
  <c r="D605" i="2"/>
  <c r="D762" i="2"/>
  <c r="D921" i="2"/>
  <c r="D765" i="2"/>
  <c r="D766" i="2"/>
  <c r="D858" i="2"/>
  <c r="D712" i="2"/>
  <c r="D14" i="2"/>
  <c r="D419" i="2"/>
  <c r="D767" i="2"/>
  <c r="D770" i="2"/>
  <c r="D773" i="2"/>
  <c r="D774" i="2"/>
  <c r="D380" i="2"/>
  <c r="D775" i="2"/>
  <c r="D776" i="2"/>
  <c r="D591" i="2"/>
  <c r="D961" i="2"/>
  <c r="D777" i="2"/>
  <c r="D654" i="2"/>
  <c r="D778" i="2"/>
  <c r="D692" i="2"/>
  <c r="D780" i="2"/>
  <c r="D473" i="2"/>
  <c r="D782" i="2"/>
  <c r="D939" i="2"/>
  <c r="D974" i="2"/>
  <c r="D606" i="2"/>
  <c r="D920" i="2"/>
  <c r="D481" i="2"/>
  <c r="D785" i="2"/>
  <c r="D787" i="2"/>
  <c r="D7" i="2"/>
  <c r="D789" i="2"/>
  <c r="D139" i="2"/>
  <c r="D790" i="2"/>
  <c r="D791" i="2"/>
  <c r="D232" i="2"/>
  <c r="D408" i="2"/>
  <c r="D794" i="2"/>
  <c r="D63" i="2"/>
  <c r="D795" i="2"/>
  <c r="D796" i="2"/>
  <c r="D245" i="2"/>
  <c r="D432" i="2"/>
  <c r="D905" i="2"/>
  <c r="D797" i="2"/>
  <c r="D798" i="2"/>
  <c r="D297" i="2"/>
  <c r="D799" i="2"/>
  <c r="D284" i="2"/>
  <c r="D801" i="2"/>
  <c r="D807" i="2"/>
  <c r="D809" i="2"/>
  <c r="D831" i="2"/>
  <c r="D540" i="2"/>
  <c r="D949" i="2"/>
  <c r="D625" i="2"/>
  <c r="D811" i="2"/>
  <c r="D978" i="2"/>
  <c r="D221" i="2"/>
  <c r="D544" i="2"/>
  <c r="D114" i="2"/>
  <c r="D812" i="2"/>
  <c r="D814" i="2"/>
  <c r="D810" i="2"/>
  <c r="D817" i="2"/>
  <c r="D236" i="2"/>
  <c r="D967" i="2"/>
  <c r="D818" i="2"/>
  <c r="D267" i="2"/>
  <c r="D563" i="2"/>
  <c r="D819" i="2"/>
  <c r="D820" i="2"/>
  <c r="D823" i="2"/>
  <c r="D468" i="2"/>
  <c r="D824" i="2"/>
  <c r="D829" i="2"/>
  <c r="D19" i="2"/>
  <c r="D825" i="2"/>
  <c r="D169" i="2"/>
  <c r="D827" i="2"/>
  <c r="D834" i="2"/>
  <c r="D836" i="2"/>
  <c r="D550" i="2"/>
  <c r="D74" i="2"/>
  <c r="D500" i="2"/>
  <c r="D840" i="2"/>
  <c r="D560" i="2"/>
  <c r="D451" i="2"/>
  <c r="D696" i="2"/>
  <c r="D842" i="2"/>
  <c r="D72" i="2"/>
  <c r="D845" i="2"/>
  <c r="D847" i="2"/>
  <c r="D252" i="2"/>
  <c r="D848" i="2"/>
  <c r="D849" i="2"/>
  <c r="D296" i="2"/>
  <c r="D850" i="2"/>
  <c r="D851" i="2"/>
  <c r="D498" i="2"/>
  <c r="D852" i="2"/>
  <c r="D285" i="2"/>
  <c r="D853" i="2"/>
  <c r="D668" i="2"/>
  <c r="D856" i="2"/>
  <c r="D528" i="2"/>
  <c r="D857" i="2"/>
  <c r="D863" i="2"/>
  <c r="D864" i="2"/>
  <c r="D372" i="2"/>
  <c r="D865" i="2"/>
  <c r="D868" i="2"/>
  <c r="D869" i="2"/>
  <c r="D870" i="2"/>
  <c r="D871" i="2"/>
  <c r="D872" i="2"/>
  <c r="D873" i="2"/>
  <c r="D875" i="2"/>
  <c r="D862" i="2"/>
  <c r="D877" i="2"/>
  <c r="D879" i="2"/>
  <c r="D880" i="2"/>
  <c r="D881" i="2"/>
  <c r="D717" i="2"/>
  <c r="D187" i="2"/>
  <c r="D645" i="2"/>
  <c r="D883" i="2"/>
  <c r="D886" i="2"/>
  <c r="D992" i="2"/>
  <c r="D946" i="2"/>
  <c r="D239" i="2"/>
  <c r="D274" i="2"/>
  <c r="D888" i="2"/>
  <c r="D400" i="2"/>
  <c r="D387" i="2"/>
  <c r="D972" i="2"/>
  <c r="D889" i="2"/>
  <c r="D495" i="2"/>
  <c r="D892" i="2"/>
  <c r="D893" i="2"/>
  <c r="D895" i="2"/>
  <c r="D571" i="2"/>
  <c r="D309" i="2"/>
  <c r="D116" i="2"/>
  <c r="D896" i="2"/>
  <c r="D899" i="2"/>
  <c r="D341" i="2"/>
  <c r="D914" i="2"/>
  <c r="D900" i="2"/>
  <c r="D901" i="2"/>
  <c r="D903" i="2"/>
  <c r="D428" i="2"/>
  <c r="D906" i="2"/>
  <c r="D405" i="2"/>
  <c r="D911" i="2"/>
  <c r="D907" i="2"/>
  <c r="D908" i="2"/>
  <c r="D909" i="2"/>
  <c r="D910" i="2"/>
  <c r="D212" i="2"/>
  <c r="D912" i="2"/>
  <c r="D514" i="2"/>
  <c r="D821" i="2"/>
  <c r="D915" i="2"/>
  <c r="D837" i="2"/>
  <c r="D917" i="2"/>
  <c r="D919" i="2"/>
  <c r="D922" i="2"/>
  <c r="D763" i="2"/>
  <c r="D925" i="2"/>
  <c r="D141" i="2"/>
  <c r="D926" i="2"/>
  <c r="D927" i="2"/>
  <c r="D928" i="2"/>
  <c r="D65" i="2"/>
  <c r="D441" i="2"/>
  <c r="D929" i="2"/>
  <c r="D930" i="2"/>
  <c r="D792" i="2"/>
  <c r="D932" i="2"/>
  <c r="D933" i="2"/>
  <c r="D843" i="2"/>
  <c r="D614" i="2"/>
  <c r="D934" i="2"/>
  <c r="D935" i="2"/>
  <c r="D62" i="2"/>
  <c r="D938" i="2"/>
  <c r="D940" i="2"/>
  <c r="D923" i="2"/>
  <c r="D664" i="2"/>
  <c r="D941" i="2"/>
  <c r="D942" i="2"/>
  <c r="D231" i="2"/>
  <c r="D943" i="2"/>
  <c r="D944" i="2"/>
  <c r="D859" i="2"/>
  <c r="D980" i="2"/>
  <c r="D945" i="2"/>
  <c r="D950" i="2"/>
  <c r="D951" i="2"/>
  <c r="D884" i="2"/>
  <c r="D618" i="2"/>
  <c r="D263" i="2"/>
  <c r="D624" i="2"/>
  <c r="D952" i="2"/>
  <c r="D833" i="2"/>
  <c r="D750" i="2"/>
  <c r="D953" i="2"/>
  <c r="D955" i="2"/>
  <c r="D700" i="2"/>
  <c r="D957" i="2"/>
  <c r="D958" i="2"/>
  <c r="D959" i="2"/>
  <c r="D588" i="2"/>
  <c r="D960" i="2"/>
  <c r="D279" i="2"/>
  <c r="D962" i="2"/>
  <c r="D963" i="2"/>
  <c r="D783" i="2"/>
  <c r="D128" i="2"/>
  <c r="D965" i="2"/>
  <c r="D564" i="2"/>
  <c r="D966" i="2"/>
  <c r="D969" i="2"/>
  <c r="D970" i="2"/>
  <c r="D976" i="2"/>
  <c r="D981" i="2"/>
  <c r="D983" i="2"/>
  <c r="D985" i="2"/>
  <c r="D986" i="2"/>
  <c r="D841" i="2"/>
  <c r="D987" i="2"/>
  <c r="D973" i="2"/>
  <c r="D990" i="2"/>
  <c r="D56" i="2"/>
  <c r="D993" i="2"/>
  <c r="D687" i="2"/>
  <c r="D527" i="2"/>
  <c r="D181" i="2"/>
  <c r="D733" i="2"/>
  <c r="D492" i="2"/>
  <c r="D867" i="2"/>
  <c r="D997" i="2"/>
  <c r="D329" i="2"/>
  <c r="D998" i="2"/>
  <c r="D658" i="2"/>
  <c r="D874" i="2"/>
  <c r="D321" i="2"/>
  <c r="D999" i="2"/>
  <c r="D1000" i="2"/>
  <c r="D566" i="2"/>
  <c r="D593" i="2"/>
  <c r="C2" i="2"/>
  <c r="C3" i="2"/>
  <c r="C5" i="2"/>
  <c r="C9" i="2"/>
  <c r="C822" i="2"/>
  <c r="C110" i="2"/>
  <c r="C11" i="2"/>
  <c r="C439" i="2"/>
  <c r="C12" i="2"/>
  <c r="C534" i="2"/>
  <c r="C802" i="2"/>
  <c r="C15" i="2"/>
  <c r="C16" i="2"/>
  <c r="C17" i="2"/>
  <c r="C826" i="2"/>
  <c r="C21" i="2"/>
  <c r="C22" i="2"/>
  <c r="C261" i="2"/>
  <c r="C644" i="2"/>
  <c r="C25" i="2"/>
  <c r="C113" i="2"/>
  <c r="C551" i="2"/>
  <c r="C740" i="2"/>
  <c r="C718" i="2"/>
  <c r="C26" i="2"/>
  <c r="C28" i="2"/>
  <c r="C29" i="2"/>
  <c r="C30" i="2"/>
  <c r="C730" i="2"/>
  <c r="C800" i="2"/>
  <c r="C32" i="2"/>
  <c r="C505" i="2"/>
  <c r="C36" i="2"/>
  <c r="C282" i="2"/>
  <c r="C37" i="2"/>
  <c r="C216" i="2"/>
  <c r="C38" i="2"/>
  <c r="C547" i="2"/>
  <c r="C39" i="2"/>
  <c r="C43" i="2"/>
  <c r="C764" i="2"/>
  <c r="C44" i="2"/>
  <c r="C45" i="2"/>
  <c r="C47" i="2"/>
  <c r="C24" i="2"/>
  <c r="C48" i="2"/>
  <c r="C49" i="2"/>
  <c r="C538" i="2"/>
  <c r="C52" i="2"/>
  <c r="C54" i="2"/>
  <c r="C662" i="2"/>
  <c r="C57" i="2"/>
  <c r="C460" i="2"/>
  <c r="C666" i="2"/>
  <c r="C609" i="2"/>
  <c r="C60" i="2"/>
  <c r="C127" i="2"/>
  <c r="C61" i="2"/>
  <c r="C66" i="2"/>
  <c r="C67" i="2"/>
  <c r="C8" i="2"/>
  <c r="C578" i="2"/>
  <c r="C68" i="2"/>
  <c r="C947" i="2"/>
  <c r="C69" i="2"/>
  <c r="C721" i="2"/>
  <c r="C70" i="2"/>
  <c r="C751" i="2"/>
  <c r="C716" i="2"/>
  <c r="C71" i="2"/>
  <c r="C76" i="2"/>
  <c r="C4" i="2"/>
  <c r="C77" i="2"/>
  <c r="C78" i="2"/>
  <c r="C81" i="2"/>
  <c r="C82" i="2"/>
  <c r="C977" i="2"/>
  <c r="C835" i="2"/>
  <c r="C806" i="2"/>
  <c r="C640" i="2"/>
  <c r="C350" i="2"/>
  <c r="C83" i="2"/>
  <c r="C781" i="2"/>
  <c r="C84" i="2"/>
  <c r="C743" i="2"/>
  <c r="C85" i="2"/>
  <c r="C378" i="2"/>
  <c r="C454" i="2"/>
  <c r="C813" i="2"/>
  <c r="C86" i="2"/>
  <c r="C89" i="2"/>
  <c r="C830" i="2"/>
  <c r="C90" i="2"/>
  <c r="C91" i="2"/>
  <c r="C92" i="2"/>
  <c r="C483" i="2"/>
  <c r="C97" i="2"/>
  <c r="C100" i="2"/>
  <c r="C648" i="2"/>
  <c r="C334" i="2"/>
  <c r="C101" i="2"/>
  <c r="C167" i="2"/>
  <c r="C860" i="2"/>
  <c r="C102" i="2"/>
  <c r="C103" i="2"/>
  <c r="C106" i="2"/>
  <c r="C107" i="2"/>
  <c r="C984" i="2"/>
  <c r="C397" i="2"/>
  <c r="C109" i="2"/>
  <c r="C117" i="2"/>
  <c r="C119" i="2"/>
  <c r="C120" i="2"/>
  <c r="C125" i="2"/>
  <c r="C788" i="2"/>
  <c r="C126" i="2"/>
  <c r="C346" i="2"/>
  <c r="C402" i="2"/>
  <c r="C53" i="2"/>
  <c r="C595" i="2"/>
  <c r="C318" i="2"/>
  <c r="C784" i="2"/>
  <c r="C129" i="2"/>
  <c r="C660" i="2"/>
  <c r="C294" i="2"/>
  <c r="C130" i="2"/>
  <c r="C250" i="2"/>
  <c r="C132" i="2"/>
  <c r="C418" i="2"/>
  <c r="C134" i="2"/>
  <c r="C815" i="2"/>
  <c r="C136" i="2"/>
  <c r="C137" i="2"/>
  <c r="C138" i="2"/>
  <c r="C140" i="2"/>
  <c r="C376" i="2"/>
  <c r="C143" i="2"/>
  <c r="C144" i="2"/>
  <c r="C464" i="2"/>
  <c r="C146" i="2"/>
  <c r="C147" i="2"/>
  <c r="C148" i="2"/>
  <c r="C150" i="2"/>
  <c r="C152" i="2"/>
  <c r="C153" i="2"/>
  <c r="C477" i="2"/>
  <c r="C634" i="2"/>
  <c r="C154" i="2"/>
  <c r="C178" i="2"/>
  <c r="C156" i="2"/>
  <c r="C158" i="2"/>
  <c r="C504" i="2"/>
  <c r="C164" i="2"/>
  <c r="C729" i="2"/>
  <c r="C247" i="2"/>
  <c r="C165" i="2"/>
  <c r="C166" i="2"/>
  <c r="C20" i="2"/>
  <c r="C168" i="2"/>
  <c r="C157" i="2"/>
  <c r="C170" i="2"/>
  <c r="C171" i="2"/>
  <c r="C982" i="2"/>
  <c r="C913" i="2"/>
  <c r="C172" i="2"/>
  <c r="C173" i="2"/>
  <c r="C176" i="2"/>
  <c r="C738" i="2"/>
  <c r="C344" i="2"/>
  <c r="C995" i="2"/>
  <c r="C177" i="2"/>
  <c r="C179" i="2"/>
  <c r="C633" i="2"/>
  <c r="C180" i="2"/>
  <c r="C183" i="2"/>
  <c r="C185" i="2"/>
  <c r="C902" i="2"/>
  <c r="C186" i="2"/>
  <c r="C41" i="2"/>
  <c r="C706" i="2"/>
  <c r="C587" i="2"/>
  <c r="C193" i="2"/>
  <c r="C194" i="2"/>
  <c r="C678" i="2"/>
  <c r="C292" i="2"/>
  <c r="C401" i="2"/>
  <c r="C195" i="2"/>
  <c r="C196" i="2"/>
  <c r="C163" i="2"/>
  <c r="C200" i="2"/>
  <c r="C204" i="2"/>
  <c r="C203" i="2"/>
  <c r="C206" i="2"/>
  <c r="C546" i="2"/>
  <c r="C753" i="2"/>
  <c r="C207" i="2"/>
  <c r="C133" i="2"/>
  <c r="C365" i="2"/>
  <c r="C93" i="2"/>
  <c r="C210" i="2"/>
  <c r="C878" i="2"/>
  <c r="C124" i="2"/>
  <c r="C211" i="2"/>
  <c r="C846" i="2"/>
  <c r="C281" i="2"/>
  <c r="C213" i="2"/>
  <c r="C214" i="2"/>
  <c r="C46" i="2"/>
  <c r="C215" i="2"/>
  <c r="C218" i="2"/>
  <c r="C702" i="2"/>
  <c r="C219" i="2"/>
  <c r="C246" i="2"/>
  <c r="C33" i="2"/>
  <c r="C220" i="2"/>
  <c r="C440" i="2"/>
  <c r="C112" i="2"/>
  <c r="C222" i="2"/>
  <c r="C518" i="2"/>
  <c r="C224" i="2"/>
  <c r="C226" i="2"/>
  <c r="C227" i="2"/>
  <c r="C626" i="2"/>
  <c r="C866" i="2"/>
  <c r="C229" i="2"/>
  <c r="C230" i="2"/>
  <c r="C205" i="2"/>
  <c r="C233" i="2"/>
  <c r="C234" i="2"/>
  <c r="C23" i="2"/>
  <c r="C237" i="2"/>
  <c r="C656" i="2"/>
  <c r="C235" i="2"/>
  <c r="C383" i="2"/>
  <c r="C202" i="2"/>
  <c r="C238" i="2"/>
  <c r="C240" i="2"/>
  <c r="C198" i="2"/>
  <c r="C904" i="2"/>
  <c r="C241" i="2"/>
  <c r="C242" i="2"/>
  <c r="C248" i="2"/>
  <c r="C690" i="2"/>
  <c r="C948" i="2"/>
  <c r="C253" i="2"/>
  <c r="C254" i="2"/>
  <c r="C257" i="2"/>
  <c r="C838" i="2"/>
  <c r="C258" i="2"/>
  <c r="C259" i="2"/>
  <c r="C262" i="2"/>
  <c r="C79" i="2"/>
  <c r="C264" i="2"/>
  <c r="C265" i="2"/>
  <c r="C653" i="2"/>
  <c r="C299" i="2"/>
  <c r="C268" i="2"/>
  <c r="C34" i="2"/>
  <c r="C272" i="2"/>
  <c r="C273" i="2"/>
  <c r="C275" i="2"/>
  <c r="C276" i="2"/>
  <c r="C335" i="2"/>
  <c r="C277" i="2"/>
  <c r="C278" i="2"/>
  <c r="C162" i="2"/>
  <c r="C131" i="2"/>
  <c r="C280" i="2"/>
  <c r="C954" i="2"/>
  <c r="C95" i="2"/>
  <c r="C283" i="2"/>
  <c r="C374" i="2"/>
  <c r="C286" i="2"/>
  <c r="C287" i="2"/>
  <c r="C288" i="2"/>
  <c r="C377" i="2"/>
  <c r="C255" i="2"/>
  <c r="C290" i="2"/>
  <c r="C295" i="2"/>
  <c r="C298" i="2"/>
  <c r="C301" i="2"/>
  <c r="C303" i="2"/>
  <c r="C562" i="2"/>
  <c r="C304" i="2"/>
  <c r="C305" i="2"/>
  <c r="C307" i="2"/>
  <c r="C308" i="2"/>
  <c r="C323" i="2"/>
  <c r="C727" i="2"/>
  <c r="C310" i="2"/>
  <c r="C312" i="2"/>
  <c r="C502" i="2"/>
  <c r="C314" i="2"/>
  <c r="C315" i="2"/>
  <c r="C42" i="2"/>
  <c r="C1001" i="2"/>
  <c r="C316" i="2"/>
  <c r="C317" i="2"/>
  <c r="C319" i="2"/>
  <c r="C320" i="2"/>
  <c r="C322" i="2"/>
  <c r="C324" i="2"/>
  <c r="C326" i="2"/>
  <c r="C327" i="2"/>
  <c r="C855" i="2"/>
  <c r="C330" i="2"/>
  <c r="C98" i="2"/>
  <c r="C332" i="2"/>
  <c r="C336" i="2"/>
  <c r="C964" i="2"/>
  <c r="C337" i="2"/>
  <c r="C486" i="2"/>
  <c r="C338" i="2"/>
  <c r="C342" i="2"/>
  <c r="C343" i="2"/>
  <c r="C711" i="2"/>
  <c r="C345" i="2"/>
  <c r="C456" i="2"/>
  <c r="C635" i="2"/>
  <c r="C760" i="2"/>
  <c r="C650" i="2"/>
  <c r="C347" i="2"/>
  <c r="C348" i="2"/>
  <c r="C484" i="2"/>
  <c r="C349" i="2"/>
  <c r="C627" i="2"/>
  <c r="C422" i="2"/>
  <c r="C352" i="2"/>
  <c r="C898" i="2"/>
  <c r="C354" i="2"/>
  <c r="C184" i="2"/>
  <c r="C355" i="2"/>
  <c r="C201" i="2"/>
  <c r="C356" i="2"/>
  <c r="C876" i="2"/>
  <c r="C359" i="2"/>
  <c r="C360" i="2"/>
  <c r="C340" i="2"/>
  <c r="C271" i="2"/>
  <c r="C361" i="2"/>
  <c r="C362" i="2"/>
  <c r="C363" i="2"/>
  <c r="C223" i="2"/>
  <c r="C364" i="2"/>
  <c r="C367" i="2"/>
  <c r="C369" i="2"/>
  <c r="C370" i="2"/>
  <c r="C771" i="2"/>
  <c r="C659" i="2"/>
  <c r="C64" i="2"/>
  <c r="C672" i="2"/>
  <c r="C351" i="2"/>
  <c r="C55" i="2"/>
  <c r="C243" i="2"/>
  <c r="C13" i="2"/>
  <c r="C703" i="2"/>
  <c r="C989" i="2"/>
  <c r="C728" i="2"/>
  <c r="C373" i="2"/>
  <c r="C772" i="2"/>
  <c r="C381" i="2"/>
  <c r="C384" i="2"/>
  <c r="C385" i="2"/>
  <c r="C386" i="2"/>
  <c r="C88" i="2"/>
  <c r="C40" i="2"/>
  <c r="C636" i="2"/>
  <c r="C228" i="2"/>
  <c r="C302" i="2"/>
  <c r="C663" i="2"/>
  <c r="C506" i="2"/>
  <c r="C447" i="2"/>
  <c r="C388" i="2"/>
  <c r="C399" i="2"/>
  <c r="C607" i="2"/>
  <c r="C389" i="2"/>
  <c r="C392" i="2"/>
  <c r="C657" i="2"/>
  <c r="C393" i="2"/>
  <c r="C555" i="2"/>
  <c r="C331" i="2"/>
  <c r="C394" i="2"/>
  <c r="C638" i="2"/>
  <c r="C723" i="2"/>
  <c r="C469" i="2"/>
  <c r="C570" i="2"/>
  <c r="C396" i="2"/>
  <c r="C705" i="2"/>
  <c r="C937" i="2"/>
  <c r="C404" i="2"/>
  <c r="C190" i="2"/>
  <c r="C121" i="2"/>
  <c r="C684" i="2"/>
  <c r="C407" i="2"/>
  <c r="C682" i="2"/>
  <c r="C409" i="2"/>
  <c r="C410" i="2"/>
  <c r="C411" i="2"/>
  <c r="C601" i="2"/>
  <c r="C736" i="2"/>
  <c r="C412" i="2"/>
  <c r="C118" i="2"/>
  <c r="C406" i="2"/>
  <c r="C413" i="2"/>
  <c r="C414" i="2"/>
  <c r="C517" i="2"/>
  <c r="C475" i="2"/>
  <c r="C379" i="2"/>
  <c r="C416" i="2"/>
  <c r="C617" i="2"/>
  <c r="C417" i="2"/>
  <c r="C260" i="2"/>
  <c r="C844" i="2"/>
  <c r="C421" i="2"/>
  <c r="C423" i="2"/>
  <c r="C425" i="2"/>
  <c r="C160" i="2"/>
  <c r="C175" i="2"/>
  <c r="C10" i="2"/>
  <c r="C426" i="2"/>
  <c r="C217" i="2"/>
  <c r="C35" i="2"/>
  <c r="C561" i="2"/>
  <c r="C427" i="2"/>
  <c r="C639" i="2"/>
  <c r="C429" i="2"/>
  <c r="C430" i="2"/>
  <c r="C270" i="2"/>
  <c r="C559" i="2"/>
  <c r="C744" i="2"/>
  <c r="C431" i="2"/>
  <c r="C433" i="2"/>
  <c r="C174" i="2"/>
  <c r="C434" i="2"/>
  <c r="C435" i="2"/>
  <c r="C541" i="2"/>
  <c r="C436" i="2"/>
  <c r="C497" i="2"/>
  <c r="C300" i="2"/>
  <c r="C437" i="2"/>
  <c r="C199" i="2"/>
  <c r="C438" i="2"/>
  <c r="C366" i="2"/>
  <c r="C916" i="2"/>
  <c r="C839" i="2"/>
  <c r="C313" i="2"/>
  <c r="C918" i="2"/>
  <c r="C58" i="2"/>
  <c r="C735" i="2"/>
  <c r="C442" i="2"/>
  <c r="C293" i="2"/>
  <c r="C443" i="2"/>
  <c r="C444" i="2"/>
  <c r="C403" i="2"/>
  <c r="C445" i="2"/>
  <c r="C525" i="2"/>
  <c r="C191" i="2"/>
  <c r="C569" i="2"/>
  <c r="C225" i="2"/>
  <c r="C450" i="2"/>
  <c r="C452" i="2"/>
  <c r="C94" i="2"/>
  <c r="C455" i="2"/>
  <c r="C975" i="2"/>
  <c r="C832" i="2"/>
  <c r="C457" i="2"/>
  <c r="C459" i="2"/>
  <c r="C197" i="2"/>
  <c r="C27" i="2"/>
  <c r="C461" i="2"/>
  <c r="C391" i="2"/>
  <c r="C793" i="2"/>
  <c r="C463" i="2"/>
  <c r="C465" i="2"/>
  <c r="C467" i="2"/>
  <c r="C519" i="2"/>
  <c r="C470" i="2"/>
  <c r="C474" i="2"/>
  <c r="C472" i="2"/>
  <c r="C478" i="2"/>
  <c r="C479" i="2"/>
  <c r="C449" i="2"/>
  <c r="C480" i="2"/>
  <c r="C482" i="2"/>
  <c r="C485" i="2"/>
  <c r="C161" i="2"/>
  <c r="C458" i="2"/>
  <c r="C487" i="2"/>
  <c r="C488" i="2"/>
  <c r="C489" i="2"/>
  <c r="C493" i="2"/>
  <c r="C424" i="2"/>
  <c r="C574" i="2"/>
  <c r="C768" i="2"/>
  <c r="C759" i="2"/>
  <c r="C289" i="2"/>
  <c r="C769" i="2"/>
  <c r="C496" i="2"/>
  <c r="C499" i="2"/>
  <c r="C891" i="2"/>
  <c r="C501" i="2"/>
  <c r="C395" i="2"/>
  <c r="C503" i="2"/>
  <c r="C632" i="2"/>
  <c r="C897" i="2"/>
  <c r="C508" i="2"/>
  <c r="C510" i="2"/>
  <c r="C511" i="2"/>
  <c r="C73" i="2"/>
  <c r="C529" i="2"/>
  <c r="C512" i="2"/>
  <c r="C515" i="2"/>
  <c r="C516" i="2"/>
  <c r="C99" i="2"/>
  <c r="C520" i="2"/>
  <c r="C521" i="2"/>
  <c r="C471" i="2"/>
  <c r="C523" i="2"/>
  <c r="C524" i="2"/>
  <c r="C526" i="2"/>
  <c r="C631" i="2"/>
  <c r="C530" i="2"/>
  <c r="C256" i="2"/>
  <c r="C531" i="2"/>
  <c r="C115" i="2"/>
  <c r="C532" i="2"/>
  <c r="C725" i="2"/>
  <c r="C731" i="2"/>
  <c r="C266" i="2"/>
  <c r="C189" i="2"/>
  <c r="C533" i="2"/>
  <c r="C535" i="2"/>
  <c r="C536" i="2"/>
  <c r="C537" i="2"/>
  <c r="C539" i="2"/>
  <c r="C542" i="2"/>
  <c r="C543" i="2"/>
  <c r="C545" i="2"/>
  <c r="C548" i="2"/>
  <c r="C828" i="2"/>
  <c r="C549" i="2"/>
  <c r="C552" i="2"/>
  <c r="C553" i="2"/>
  <c r="C554" i="2"/>
  <c r="C123" i="2"/>
  <c r="C31" i="2"/>
  <c r="C556" i="2"/>
  <c r="C611" i="2"/>
  <c r="C358" i="2"/>
  <c r="C557" i="2"/>
  <c r="C558" i="2"/>
  <c r="C565" i="2"/>
  <c r="C80" i="2"/>
  <c r="C567" i="2"/>
  <c r="C568" i="2"/>
  <c r="C415" i="2"/>
  <c r="C572" i="2"/>
  <c r="C192" i="2"/>
  <c r="C575" i="2"/>
  <c r="C576" i="2"/>
  <c r="C579" i="2"/>
  <c r="C600" i="2"/>
  <c r="C420" i="2"/>
  <c r="C581" i="2"/>
  <c r="C956" i="2"/>
  <c r="C582" i="2"/>
  <c r="C583" i="2"/>
  <c r="C448" i="2"/>
  <c r="C494" i="2"/>
  <c r="C584" i="2"/>
  <c r="C509" i="2"/>
  <c r="C630" i="2"/>
  <c r="C615" i="2"/>
  <c r="C585" i="2"/>
  <c r="C311" i="2"/>
  <c r="C586" i="2"/>
  <c r="C269" i="2"/>
  <c r="C589" i="2"/>
  <c r="C251" i="2"/>
  <c r="C590" i="2"/>
  <c r="C623" i="2"/>
  <c r="C894" i="2"/>
  <c r="C931" i="2"/>
  <c r="C592" i="2"/>
  <c r="C594" i="2"/>
  <c r="C145" i="2"/>
  <c r="C353" i="2"/>
  <c r="C333" i="2"/>
  <c r="C596" i="2"/>
  <c r="C936" i="2"/>
  <c r="C597" i="2"/>
  <c r="C598" i="2"/>
  <c r="C382" i="2"/>
  <c r="C573" i="2"/>
  <c r="C803" i="2"/>
  <c r="C599" i="2"/>
  <c r="C602" i="2"/>
  <c r="C708" i="2"/>
  <c r="C604" i="2"/>
  <c r="C51" i="2"/>
  <c r="C608" i="2"/>
  <c r="C610" i="2"/>
  <c r="C507" i="2"/>
  <c r="C108" i="2"/>
  <c r="C357" i="2"/>
  <c r="C325" i="2"/>
  <c r="C612" i="2"/>
  <c r="C613" i="2"/>
  <c r="C18" i="2"/>
  <c r="C476" i="2"/>
  <c r="C491" i="2"/>
  <c r="C616" i="2"/>
  <c r="C620" i="2"/>
  <c r="C111" i="2"/>
  <c r="C375" i="2"/>
  <c r="C513" i="2"/>
  <c r="C622" i="2"/>
  <c r="C804" i="2"/>
  <c r="C328" i="2"/>
  <c r="C779" i="2"/>
  <c r="C249" i="2"/>
  <c r="C306" i="2"/>
  <c r="C628" i="2"/>
  <c r="C665" i="2"/>
  <c r="C924" i="2"/>
  <c r="C641" i="2"/>
  <c r="C637" i="2"/>
  <c r="C719" i="2"/>
  <c r="C724" i="2"/>
  <c r="C642" i="2"/>
  <c r="C643" i="2"/>
  <c r="C991" i="2"/>
  <c r="C887" i="2"/>
  <c r="C646" i="2"/>
  <c r="C577" i="2"/>
  <c r="C647" i="2"/>
  <c r="C649" i="2"/>
  <c r="C603" i="2"/>
  <c r="C453" i="2"/>
  <c r="C651" i="2"/>
  <c r="C188" i="2"/>
  <c r="C466" i="2"/>
  <c r="C652" i="2"/>
  <c r="C655" i="2"/>
  <c r="C390" i="2"/>
  <c r="C661" i="2"/>
  <c r="C748" i="2"/>
  <c r="C996" i="2"/>
  <c r="C580" i="2"/>
  <c r="C667" i="2"/>
  <c r="C669" i="2"/>
  <c r="C339" i="2"/>
  <c r="C670" i="2"/>
  <c r="C671" i="2"/>
  <c r="C673" i="2"/>
  <c r="C6" i="2"/>
  <c r="C715" i="2"/>
  <c r="C462" i="2"/>
  <c r="C398" i="2"/>
  <c r="C674" i="2"/>
  <c r="C675" i="2"/>
  <c r="C677" i="2"/>
  <c r="C679" i="2"/>
  <c r="C680" i="2"/>
  <c r="C681" i="2"/>
  <c r="C629" i="2"/>
  <c r="C104" i="2"/>
  <c r="C988" i="2"/>
  <c r="C105" i="2"/>
  <c r="C676" i="2"/>
  <c r="C87" i="2"/>
  <c r="C135" i="2"/>
  <c r="C209" i="2"/>
  <c r="C683" i="2"/>
  <c r="C685" i="2"/>
  <c r="C686" i="2"/>
  <c r="C50" i="2"/>
  <c r="C688" i="2"/>
  <c r="C75" i="2"/>
  <c r="C244" i="2"/>
  <c r="C689" i="2"/>
  <c r="C816" i="2"/>
  <c r="C142" i="2"/>
  <c r="C151" i="2"/>
  <c r="C691" i="2"/>
  <c r="C693" i="2"/>
  <c r="C490" i="2"/>
  <c r="C694" i="2"/>
  <c r="C697" i="2"/>
  <c r="C149" i="2"/>
  <c r="C861" i="2"/>
  <c r="C885" i="2"/>
  <c r="C698" i="2"/>
  <c r="C994" i="2"/>
  <c r="C59" i="2"/>
  <c r="C699" i="2"/>
  <c r="C208" i="2"/>
  <c r="C701" i="2"/>
  <c r="C704" i="2"/>
  <c r="C707" i="2"/>
  <c r="C709" i="2"/>
  <c r="C710" i="2"/>
  <c r="C854" i="2"/>
  <c r="C713" i="2"/>
  <c r="C805" i="2"/>
  <c r="C291" i="2"/>
  <c r="C446" i="2"/>
  <c r="C890" i="2"/>
  <c r="C714" i="2"/>
  <c r="C722" i="2"/>
  <c r="C726" i="2"/>
  <c r="C732" i="2"/>
  <c r="C734" i="2"/>
  <c r="C786" i="2"/>
  <c r="C737" i="2"/>
  <c r="C739" i="2"/>
  <c r="C968" i="2"/>
  <c r="C741" i="2"/>
  <c r="C882" i="2"/>
  <c r="C122" i="2"/>
  <c r="C182" i="2"/>
  <c r="C742" i="2"/>
  <c r="C619" i="2"/>
  <c r="C745" i="2"/>
  <c r="C746" i="2"/>
  <c r="C159" i="2"/>
  <c r="C747" i="2"/>
  <c r="C749" i="2"/>
  <c r="C752" i="2"/>
  <c r="C754" i="2"/>
  <c r="C755" i="2"/>
  <c r="C371" i="2"/>
  <c r="C756" i="2"/>
  <c r="C757" i="2"/>
  <c r="C155" i="2"/>
  <c r="C621" i="2"/>
  <c r="C368" i="2"/>
  <c r="C96" i="2"/>
  <c r="C720" i="2"/>
  <c r="C808" i="2"/>
  <c r="C522" i="2"/>
  <c r="C695" i="2"/>
  <c r="C758" i="2"/>
  <c r="C761" i="2"/>
  <c r="C979" i="2"/>
  <c r="C971" i="2"/>
  <c r="C605" i="2"/>
  <c r="C762" i="2"/>
  <c r="C921" i="2"/>
  <c r="C765" i="2"/>
  <c r="C766" i="2"/>
  <c r="C858" i="2"/>
  <c r="C712" i="2"/>
  <c r="C14" i="2"/>
  <c r="C419" i="2"/>
  <c r="C767" i="2"/>
  <c r="C770" i="2"/>
  <c r="C773" i="2"/>
  <c r="C774" i="2"/>
  <c r="C380" i="2"/>
  <c r="C775" i="2"/>
  <c r="C776" i="2"/>
  <c r="C591" i="2"/>
  <c r="C961" i="2"/>
  <c r="C777" i="2"/>
  <c r="C654" i="2"/>
  <c r="C778" i="2"/>
  <c r="C692" i="2"/>
  <c r="C780" i="2"/>
  <c r="C473" i="2"/>
  <c r="C782" i="2"/>
  <c r="C939" i="2"/>
  <c r="C974" i="2"/>
  <c r="C606" i="2"/>
  <c r="C920" i="2"/>
  <c r="C481" i="2"/>
  <c r="C785" i="2"/>
  <c r="C787" i="2"/>
  <c r="C7" i="2"/>
  <c r="C789" i="2"/>
  <c r="C139" i="2"/>
  <c r="C790" i="2"/>
  <c r="C791" i="2"/>
  <c r="C232" i="2"/>
  <c r="C408" i="2"/>
  <c r="C794" i="2"/>
  <c r="C63" i="2"/>
  <c r="C795" i="2"/>
  <c r="C796" i="2"/>
  <c r="C245" i="2"/>
  <c r="C432" i="2"/>
  <c r="C905" i="2"/>
  <c r="C797" i="2"/>
  <c r="C798" i="2"/>
  <c r="C297" i="2"/>
  <c r="C799" i="2"/>
  <c r="C284" i="2"/>
  <c r="C801" i="2"/>
  <c r="C807" i="2"/>
  <c r="C809" i="2"/>
  <c r="C831" i="2"/>
  <c r="C540" i="2"/>
  <c r="C949" i="2"/>
  <c r="C625" i="2"/>
  <c r="C811" i="2"/>
  <c r="C978" i="2"/>
  <c r="C221" i="2"/>
  <c r="C544" i="2"/>
  <c r="C114" i="2"/>
  <c r="C812" i="2"/>
  <c r="C814" i="2"/>
  <c r="C810" i="2"/>
  <c r="C817" i="2"/>
  <c r="C236" i="2"/>
  <c r="C967" i="2"/>
  <c r="C818" i="2"/>
  <c r="C267" i="2"/>
  <c r="C563" i="2"/>
  <c r="C819" i="2"/>
  <c r="C820" i="2"/>
  <c r="C823" i="2"/>
  <c r="C468" i="2"/>
  <c r="C824" i="2"/>
  <c r="C829" i="2"/>
  <c r="C19" i="2"/>
  <c r="C825" i="2"/>
  <c r="C169" i="2"/>
  <c r="C827" i="2"/>
  <c r="C834" i="2"/>
  <c r="C836" i="2"/>
  <c r="C550" i="2"/>
  <c r="C74" i="2"/>
  <c r="C500" i="2"/>
  <c r="C840" i="2"/>
  <c r="C560" i="2"/>
  <c r="C451" i="2"/>
  <c r="C696" i="2"/>
  <c r="C842" i="2"/>
  <c r="C72" i="2"/>
  <c r="C845" i="2"/>
  <c r="C847" i="2"/>
  <c r="C252" i="2"/>
  <c r="C848" i="2"/>
  <c r="C849" i="2"/>
  <c r="C296" i="2"/>
  <c r="C850" i="2"/>
  <c r="C851" i="2"/>
  <c r="C498" i="2"/>
  <c r="C852" i="2"/>
  <c r="C285" i="2"/>
  <c r="C853" i="2"/>
  <c r="C668" i="2"/>
  <c r="C856" i="2"/>
  <c r="C528" i="2"/>
  <c r="C857" i="2"/>
  <c r="C863" i="2"/>
  <c r="C864" i="2"/>
  <c r="C372" i="2"/>
  <c r="C865" i="2"/>
  <c r="C868" i="2"/>
  <c r="C869" i="2"/>
  <c r="C870" i="2"/>
  <c r="C871" i="2"/>
  <c r="C872" i="2"/>
  <c r="C873" i="2"/>
  <c r="C875" i="2"/>
  <c r="C862" i="2"/>
  <c r="C877" i="2"/>
  <c r="C879" i="2"/>
  <c r="C880" i="2"/>
  <c r="C881" i="2"/>
  <c r="C717" i="2"/>
  <c r="C187" i="2"/>
  <c r="C645" i="2"/>
  <c r="C883" i="2"/>
  <c r="C886" i="2"/>
  <c r="C992" i="2"/>
  <c r="C946" i="2"/>
  <c r="C239" i="2"/>
  <c r="C274" i="2"/>
  <c r="C888" i="2"/>
  <c r="C400" i="2"/>
  <c r="C387" i="2"/>
  <c r="C972" i="2"/>
  <c r="C889" i="2"/>
  <c r="C495" i="2"/>
  <c r="C892" i="2"/>
  <c r="C893" i="2"/>
  <c r="C895" i="2"/>
  <c r="C571" i="2"/>
  <c r="C309" i="2"/>
  <c r="C116" i="2"/>
  <c r="C896" i="2"/>
  <c r="C899" i="2"/>
  <c r="C341" i="2"/>
  <c r="C914" i="2"/>
  <c r="C900" i="2"/>
  <c r="C901" i="2"/>
  <c r="C903" i="2"/>
  <c r="C428" i="2"/>
  <c r="C906" i="2"/>
  <c r="C405" i="2"/>
  <c r="C911" i="2"/>
  <c r="C907" i="2"/>
  <c r="C908" i="2"/>
  <c r="C909" i="2"/>
  <c r="C910" i="2"/>
  <c r="C212" i="2"/>
  <c r="C912" i="2"/>
  <c r="C514" i="2"/>
  <c r="C821" i="2"/>
  <c r="C915" i="2"/>
  <c r="C837" i="2"/>
  <c r="C917" i="2"/>
  <c r="C919" i="2"/>
  <c r="C922" i="2"/>
  <c r="C763" i="2"/>
  <c r="C925" i="2"/>
  <c r="C141" i="2"/>
  <c r="C926" i="2"/>
  <c r="C927" i="2"/>
  <c r="C928" i="2"/>
  <c r="C65" i="2"/>
  <c r="C441" i="2"/>
  <c r="C929" i="2"/>
  <c r="C930" i="2"/>
  <c r="C792" i="2"/>
  <c r="C932" i="2"/>
  <c r="C933" i="2"/>
  <c r="C843" i="2"/>
  <c r="C614" i="2"/>
  <c r="C934" i="2"/>
  <c r="C935" i="2"/>
  <c r="C62" i="2"/>
  <c r="C938" i="2"/>
  <c r="C940" i="2"/>
  <c r="C923" i="2"/>
  <c r="C664" i="2"/>
  <c r="C941" i="2"/>
  <c r="C942" i="2"/>
  <c r="C231" i="2"/>
  <c r="C943" i="2"/>
  <c r="C944" i="2"/>
  <c r="C859" i="2"/>
  <c r="C980" i="2"/>
  <c r="C945" i="2"/>
  <c r="C950" i="2"/>
  <c r="C951" i="2"/>
  <c r="C884" i="2"/>
  <c r="C618" i="2"/>
  <c r="C263" i="2"/>
  <c r="C624" i="2"/>
  <c r="C952" i="2"/>
  <c r="C833" i="2"/>
  <c r="C750" i="2"/>
  <c r="C953" i="2"/>
  <c r="C955" i="2"/>
  <c r="C700" i="2"/>
  <c r="C957" i="2"/>
  <c r="C958" i="2"/>
  <c r="C959" i="2"/>
  <c r="C588" i="2"/>
  <c r="C960" i="2"/>
  <c r="C279" i="2"/>
  <c r="C962" i="2"/>
  <c r="C963" i="2"/>
  <c r="C783" i="2"/>
  <c r="C128" i="2"/>
  <c r="C965" i="2"/>
  <c r="C564" i="2"/>
  <c r="C966" i="2"/>
  <c r="C969" i="2"/>
  <c r="C970" i="2"/>
  <c r="C976" i="2"/>
  <c r="C981" i="2"/>
  <c r="C983" i="2"/>
  <c r="C985" i="2"/>
  <c r="C986" i="2"/>
  <c r="C841" i="2"/>
  <c r="C987" i="2"/>
  <c r="C973" i="2"/>
  <c r="C990" i="2"/>
  <c r="C56" i="2"/>
  <c r="C993" i="2"/>
  <c r="C687" i="2"/>
  <c r="C527" i="2"/>
  <c r="C181" i="2"/>
  <c r="C733" i="2"/>
  <c r="C492" i="2"/>
  <c r="C867" i="2"/>
  <c r="C997" i="2"/>
  <c r="C329" i="2"/>
  <c r="C998" i="2"/>
  <c r="C658" i="2"/>
  <c r="C874" i="2"/>
  <c r="C321" i="2"/>
  <c r="C999" i="2"/>
  <c r="C1000" i="2"/>
  <c r="C566" i="2"/>
  <c r="C593" i="2"/>
  <c r="K2" i="2"/>
  <c r="L2" i="2" s="1"/>
  <c r="K3" i="2"/>
  <c r="L3" i="2" s="1"/>
  <c r="K5" i="2"/>
  <c r="L5" i="2" s="1"/>
  <c r="K9" i="2"/>
  <c r="K822" i="2"/>
  <c r="L822" i="2" s="1"/>
  <c r="K110" i="2"/>
  <c r="L110" i="2" s="1"/>
  <c r="K11" i="2"/>
  <c r="K439" i="2"/>
  <c r="L439" i="2" s="1"/>
  <c r="K12" i="2"/>
  <c r="L12" i="2" s="1"/>
  <c r="K534" i="2"/>
  <c r="L534" i="2" s="1"/>
  <c r="K802" i="2"/>
  <c r="L802" i="2" s="1"/>
  <c r="K15" i="2"/>
  <c r="L15" i="2" s="1"/>
  <c r="K16" i="2"/>
  <c r="L16" i="2" s="1"/>
  <c r="K17" i="2"/>
  <c r="L17" i="2" s="1"/>
  <c r="K826" i="2"/>
  <c r="K21" i="2"/>
  <c r="L21" i="2" s="1"/>
  <c r="K22" i="2"/>
  <c r="K261" i="2"/>
  <c r="L261" i="2" s="1"/>
  <c r="K644" i="2"/>
  <c r="L644" i="2" s="1"/>
  <c r="K25" i="2"/>
  <c r="L25" i="2" s="1"/>
  <c r="K113" i="2"/>
  <c r="L113" i="2" s="1"/>
  <c r="K551" i="2"/>
  <c r="L551" i="2" s="1"/>
  <c r="K740" i="2"/>
  <c r="K718" i="2"/>
  <c r="L718" i="2" s="1"/>
  <c r="K26" i="2"/>
  <c r="L26" i="2" s="1"/>
  <c r="K28" i="2"/>
  <c r="L28" i="2" s="1"/>
  <c r="K29" i="2"/>
  <c r="L29" i="2" s="1"/>
  <c r="K30" i="2"/>
  <c r="K730" i="2"/>
  <c r="L730" i="2" s="1"/>
  <c r="K800" i="2"/>
  <c r="L800" i="2" s="1"/>
  <c r="K32" i="2"/>
  <c r="K505" i="2"/>
  <c r="L505" i="2" s="1"/>
  <c r="K36" i="2"/>
  <c r="L36" i="2" s="1"/>
  <c r="K282" i="2"/>
  <c r="L282" i="2" s="1"/>
  <c r="K37" i="2"/>
  <c r="L37" i="2" s="1"/>
  <c r="K216" i="2"/>
  <c r="L216" i="2" s="1"/>
  <c r="K38" i="2"/>
  <c r="L38" i="2" s="1"/>
  <c r="K547" i="2"/>
  <c r="L547" i="2" s="1"/>
  <c r="K39" i="2"/>
  <c r="K43" i="2"/>
  <c r="L43" i="2" s="1"/>
  <c r="K764" i="2"/>
  <c r="L764" i="2" s="1"/>
  <c r="K44" i="2"/>
  <c r="L44" i="2" s="1"/>
  <c r="K45" i="2"/>
  <c r="L45" i="2" s="1"/>
  <c r="K47" i="2"/>
  <c r="L47" i="2" s="1"/>
  <c r="K24" i="2"/>
  <c r="L24" i="2" s="1"/>
  <c r="K48" i="2"/>
  <c r="L48" i="2" s="1"/>
  <c r="K49" i="2"/>
  <c r="K538" i="2"/>
  <c r="L538" i="2" s="1"/>
  <c r="K52" i="2"/>
  <c r="L52" i="2" s="1"/>
  <c r="K54" i="2"/>
  <c r="L54" i="2" s="1"/>
  <c r="K662" i="2"/>
  <c r="L662" i="2" s="1"/>
  <c r="K57" i="2"/>
  <c r="K460" i="2"/>
  <c r="L460" i="2" s="1"/>
  <c r="K666" i="2"/>
  <c r="L666" i="2" s="1"/>
  <c r="K609" i="2"/>
  <c r="K60" i="2"/>
  <c r="L60" i="2" s="1"/>
  <c r="K127" i="2"/>
  <c r="L127" i="2" s="1"/>
  <c r="K61" i="2"/>
  <c r="L61" i="2" s="1"/>
  <c r="K66" i="2"/>
  <c r="L66" i="2" s="1"/>
  <c r="K67" i="2"/>
  <c r="L67" i="2" s="1"/>
  <c r="K8" i="2"/>
  <c r="L8" i="2" s="1"/>
  <c r="K578" i="2"/>
  <c r="L578" i="2" s="1"/>
  <c r="K68" i="2"/>
  <c r="K947" i="2"/>
  <c r="L947" i="2" s="1"/>
  <c r="K69" i="2"/>
  <c r="K721" i="2"/>
  <c r="L721" i="2" s="1"/>
  <c r="K70" i="2"/>
  <c r="L70" i="2" s="1"/>
  <c r="K751" i="2"/>
  <c r="K716" i="2"/>
  <c r="L716" i="2" s="1"/>
  <c r="K71" i="2"/>
  <c r="L71" i="2" s="1"/>
  <c r="K76" i="2"/>
  <c r="K4" i="2"/>
  <c r="L4" i="2" s="1"/>
  <c r="K77" i="2"/>
  <c r="L77" i="2" s="1"/>
  <c r="K78" i="2"/>
  <c r="L78" i="2" s="1"/>
  <c r="K81" i="2"/>
  <c r="L81" i="2" s="1"/>
  <c r="K82" i="2"/>
  <c r="L82" i="2" s="1"/>
  <c r="K977" i="2"/>
  <c r="L977" i="2" s="1"/>
  <c r="K835" i="2"/>
  <c r="L835" i="2" s="1"/>
  <c r="K806" i="2"/>
  <c r="K640" i="2"/>
  <c r="L640" i="2" s="1"/>
  <c r="K350" i="2"/>
  <c r="L350" i="2" s="1"/>
  <c r="K83" i="2"/>
  <c r="L83" i="2" s="1"/>
  <c r="K781" i="2"/>
  <c r="L781" i="2" s="1"/>
  <c r="K84" i="2"/>
  <c r="K743" i="2"/>
  <c r="L743" i="2" s="1"/>
  <c r="K85" i="2"/>
  <c r="L85" i="2" s="1"/>
  <c r="K378" i="2"/>
  <c r="K454" i="2"/>
  <c r="L454" i="2" s="1"/>
  <c r="K813" i="2"/>
  <c r="K86" i="2"/>
  <c r="L86" i="2" s="1"/>
  <c r="K89" i="2"/>
  <c r="L89" i="2" s="1"/>
  <c r="K830" i="2"/>
  <c r="L830" i="2" s="1"/>
  <c r="K90" i="2"/>
  <c r="L90" i="2" s="1"/>
  <c r="K91" i="2"/>
  <c r="L91" i="2" s="1"/>
  <c r="K92" i="2"/>
  <c r="K483" i="2"/>
  <c r="L483" i="2" s="1"/>
  <c r="K97" i="2"/>
  <c r="L97" i="2" s="1"/>
  <c r="K100" i="2"/>
  <c r="L100" i="2" s="1"/>
  <c r="K648" i="2"/>
  <c r="L648" i="2" s="1"/>
  <c r="K334" i="2"/>
  <c r="K101" i="2"/>
  <c r="L101" i="2" s="1"/>
  <c r="K167" i="2"/>
  <c r="L167" i="2" s="1"/>
  <c r="K860" i="2"/>
  <c r="K102" i="2"/>
  <c r="L102" i="2" s="1"/>
  <c r="K103" i="2"/>
  <c r="L103" i="2" s="1"/>
  <c r="K106" i="2"/>
  <c r="K107" i="2"/>
  <c r="L107" i="2" s="1"/>
  <c r="K984" i="2"/>
  <c r="L984" i="2" s="1"/>
  <c r="K397" i="2"/>
  <c r="L397" i="2" s="1"/>
  <c r="K109" i="2"/>
  <c r="L109" i="2" s="1"/>
  <c r="K117" i="2"/>
  <c r="K119" i="2"/>
  <c r="L119" i="2" s="1"/>
  <c r="K120" i="2"/>
  <c r="K125" i="2"/>
  <c r="L125" i="2" s="1"/>
  <c r="K788" i="2"/>
  <c r="L788" i="2" s="1"/>
  <c r="K126" i="2"/>
  <c r="L126" i="2" s="1"/>
  <c r="K346" i="2"/>
  <c r="L346" i="2" s="1"/>
  <c r="K402" i="2"/>
  <c r="L402" i="2" s="1"/>
  <c r="K53" i="2"/>
  <c r="K595" i="2"/>
  <c r="L595" i="2" s="1"/>
  <c r="K318" i="2"/>
  <c r="L318" i="2" s="1"/>
  <c r="K784" i="2"/>
  <c r="L784" i="2" s="1"/>
  <c r="K129" i="2"/>
  <c r="L129" i="2" s="1"/>
  <c r="K660" i="2"/>
  <c r="L660" i="2" s="1"/>
  <c r="K294" i="2"/>
  <c r="L294" i="2" s="1"/>
  <c r="K130" i="2"/>
  <c r="K250" i="2"/>
  <c r="K132" i="2"/>
  <c r="L132" i="2" s="1"/>
  <c r="K418" i="2"/>
  <c r="L418" i="2" s="1"/>
  <c r="K134" i="2"/>
  <c r="L134" i="2" s="1"/>
  <c r="K815" i="2"/>
  <c r="L815" i="2" s="1"/>
  <c r="K136" i="2"/>
  <c r="K137" i="2"/>
  <c r="L137" i="2" s="1"/>
  <c r="K138" i="2"/>
  <c r="L138" i="2" s="1"/>
  <c r="K140" i="2"/>
  <c r="K376" i="2"/>
  <c r="L376" i="2" s="1"/>
  <c r="K143" i="2"/>
  <c r="L143" i="2" s="1"/>
  <c r="K144" i="2"/>
  <c r="L144" i="2" s="1"/>
  <c r="K464" i="2"/>
  <c r="L464" i="2" s="1"/>
  <c r="K146" i="2"/>
  <c r="L146" i="2" s="1"/>
  <c r="K147" i="2"/>
  <c r="L147" i="2" s="1"/>
  <c r="K148" i="2"/>
  <c r="L148" i="2" s="1"/>
  <c r="K150" i="2"/>
  <c r="K152" i="2"/>
  <c r="L152" i="2" s="1"/>
  <c r="K153" i="2"/>
  <c r="L153" i="2" s="1"/>
  <c r="K477" i="2"/>
  <c r="L477" i="2" s="1"/>
  <c r="K634" i="2"/>
  <c r="L634" i="2" s="1"/>
  <c r="K154" i="2"/>
  <c r="L154" i="2" s="1"/>
  <c r="K178" i="2"/>
  <c r="L178" i="2" s="1"/>
  <c r="K156" i="2"/>
  <c r="L156" i="2" s="1"/>
  <c r="K158" i="2"/>
  <c r="K504" i="2"/>
  <c r="L504" i="2" s="1"/>
  <c r="K164" i="2"/>
  <c r="L164" i="2" s="1"/>
  <c r="K729" i="2"/>
  <c r="L729" i="2" s="1"/>
  <c r="K247" i="2"/>
  <c r="L247" i="2" s="1"/>
  <c r="K165" i="2"/>
  <c r="K166" i="2"/>
  <c r="L166" i="2" s="1"/>
  <c r="K20" i="2"/>
  <c r="L20" i="2" s="1"/>
  <c r="K168" i="2"/>
  <c r="K157" i="2"/>
  <c r="L157" i="2" s="1"/>
  <c r="K170" i="2"/>
  <c r="L170" i="2" s="1"/>
  <c r="K171" i="2"/>
  <c r="L171" i="2" s="1"/>
  <c r="K982" i="2"/>
  <c r="L982" i="2" s="1"/>
  <c r="K913" i="2"/>
  <c r="L913" i="2" s="1"/>
  <c r="K172" i="2"/>
  <c r="L172" i="2" s="1"/>
  <c r="K173" i="2"/>
  <c r="L173" i="2" s="1"/>
  <c r="K176" i="2"/>
  <c r="K738" i="2"/>
  <c r="L738" i="2" s="1"/>
  <c r="K344" i="2"/>
  <c r="L344" i="2" s="1"/>
  <c r="K995" i="2"/>
  <c r="L995" i="2" s="1"/>
  <c r="K177" i="2"/>
  <c r="L177" i="2" s="1"/>
  <c r="K179" i="2"/>
  <c r="L179" i="2" s="1"/>
  <c r="K633" i="2"/>
  <c r="L633" i="2" s="1"/>
  <c r="K180" i="2"/>
  <c r="L180" i="2" s="1"/>
  <c r="K183" i="2"/>
  <c r="K185" i="2"/>
  <c r="L185" i="2" s="1"/>
  <c r="K902" i="2"/>
  <c r="L902" i="2" s="1"/>
  <c r="K186" i="2"/>
  <c r="L186" i="2" s="1"/>
  <c r="K41" i="2"/>
  <c r="L41" i="2" s="1"/>
  <c r="K706" i="2"/>
  <c r="L706" i="2" s="1"/>
  <c r="K587" i="2"/>
  <c r="L587" i="2" s="1"/>
  <c r="K193" i="2"/>
  <c r="L193" i="2" s="1"/>
  <c r="K194" i="2"/>
  <c r="K678" i="2"/>
  <c r="L678" i="2" s="1"/>
  <c r="K292" i="2"/>
  <c r="L292" i="2" s="1"/>
  <c r="K401" i="2"/>
  <c r="L401" i="2" s="1"/>
  <c r="K195" i="2"/>
  <c r="L195" i="2" s="1"/>
  <c r="K196" i="2"/>
  <c r="K163" i="2"/>
  <c r="L163" i="2" s="1"/>
  <c r="K200" i="2"/>
  <c r="L200" i="2" s="1"/>
  <c r="K204" i="2"/>
  <c r="K203" i="2"/>
  <c r="L203" i="2" s="1"/>
  <c r="K206" i="2"/>
  <c r="L206" i="2" s="1"/>
  <c r="K546" i="2"/>
  <c r="L546" i="2" s="1"/>
  <c r="K753" i="2"/>
  <c r="L753" i="2" s="1"/>
  <c r="K207" i="2"/>
  <c r="L207" i="2" s="1"/>
  <c r="K133" i="2"/>
  <c r="L133" i="2" s="1"/>
  <c r="K365" i="2"/>
  <c r="L365" i="2" s="1"/>
  <c r="K93" i="2"/>
  <c r="K210" i="2"/>
  <c r="L210" i="2" s="1"/>
  <c r="K878" i="2"/>
  <c r="L878" i="2" s="1"/>
  <c r="K124" i="2"/>
  <c r="L124" i="2" s="1"/>
  <c r="K211" i="2"/>
  <c r="L211" i="2" s="1"/>
  <c r="K846" i="2"/>
  <c r="L846" i="2" s="1"/>
  <c r="K281" i="2"/>
  <c r="L281" i="2" s="1"/>
  <c r="K213" i="2"/>
  <c r="L213" i="2" s="1"/>
  <c r="K214" i="2"/>
  <c r="K46" i="2"/>
  <c r="L46" i="2" s="1"/>
  <c r="K215" i="2"/>
  <c r="L215" i="2" s="1"/>
  <c r="K218" i="2"/>
  <c r="L218" i="2" s="1"/>
  <c r="K702" i="2"/>
  <c r="L702" i="2" s="1"/>
  <c r="K219" i="2"/>
  <c r="L219" i="2" s="1"/>
  <c r="K246" i="2"/>
  <c r="L246" i="2" s="1"/>
  <c r="K33" i="2"/>
  <c r="L33" i="2" s="1"/>
  <c r="K220" i="2"/>
  <c r="K440" i="2"/>
  <c r="L440" i="2" s="1"/>
  <c r="K112" i="2"/>
  <c r="L112" i="2" s="1"/>
  <c r="K222" i="2"/>
  <c r="L222" i="2" s="1"/>
  <c r="K518" i="2"/>
  <c r="L518" i="2" s="1"/>
  <c r="K224" i="2"/>
  <c r="K226" i="2"/>
  <c r="K227" i="2"/>
  <c r="L227" i="2" s="1"/>
  <c r="K626" i="2"/>
  <c r="K866" i="2"/>
  <c r="L866" i="2" s="1"/>
  <c r="K229" i="2"/>
  <c r="L229" i="2" s="1"/>
  <c r="K230" i="2"/>
  <c r="L230" i="2" s="1"/>
  <c r="K205" i="2"/>
  <c r="L205" i="2" s="1"/>
  <c r="K233" i="2"/>
  <c r="L233" i="2" s="1"/>
  <c r="K234" i="2"/>
  <c r="L234" i="2" s="1"/>
  <c r="K23" i="2"/>
  <c r="L23" i="2" s="1"/>
  <c r="K237" i="2"/>
  <c r="K656" i="2"/>
  <c r="L656" i="2" s="1"/>
  <c r="K235" i="2"/>
  <c r="L235" i="2" s="1"/>
  <c r="K383" i="2"/>
  <c r="L383" i="2" s="1"/>
  <c r="K202" i="2"/>
  <c r="L202" i="2" s="1"/>
  <c r="K238" i="2"/>
  <c r="K240" i="2"/>
  <c r="L240" i="2" s="1"/>
  <c r="K198" i="2"/>
  <c r="K904" i="2"/>
  <c r="K241" i="2"/>
  <c r="L241" i="2" s="1"/>
  <c r="K242" i="2"/>
  <c r="L242" i="2" s="1"/>
  <c r="K248" i="2"/>
  <c r="L248" i="2" s="1"/>
  <c r="K690" i="2"/>
  <c r="L690" i="2" s="1"/>
  <c r="K948" i="2"/>
  <c r="L948" i="2" s="1"/>
  <c r="K253" i="2"/>
  <c r="L253" i="2" s="1"/>
  <c r="K254" i="2"/>
  <c r="L254" i="2" s="1"/>
  <c r="K257" i="2"/>
  <c r="K838" i="2"/>
  <c r="L838" i="2" s="1"/>
  <c r="K258" i="2"/>
  <c r="L258" i="2" s="1"/>
  <c r="K259" i="2"/>
  <c r="L259" i="2" s="1"/>
  <c r="K262" i="2"/>
  <c r="L262" i="2" s="1"/>
  <c r="K79" i="2"/>
  <c r="L79" i="2" s="1"/>
  <c r="K264" i="2"/>
  <c r="L264" i="2" s="1"/>
  <c r="K265" i="2"/>
  <c r="L265" i="2" s="1"/>
  <c r="K653" i="2"/>
  <c r="K299" i="2"/>
  <c r="L299" i="2" s="1"/>
  <c r="K268" i="2"/>
  <c r="L268" i="2" s="1"/>
  <c r="K34" i="2"/>
  <c r="L34" i="2" s="1"/>
  <c r="K272" i="2"/>
  <c r="L272" i="2" s="1"/>
  <c r="K273" i="2"/>
  <c r="K275" i="2"/>
  <c r="L275" i="2" s="1"/>
  <c r="K276" i="2"/>
  <c r="L276" i="2" s="1"/>
  <c r="K335" i="2"/>
  <c r="K277" i="2"/>
  <c r="L277" i="2" s="1"/>
  <c r="K278" i="2"/>
  <c r="L278" i="2" s="1"/>
  <c r="K162" i="2"/>
  <c r="L162" i="2" s="1"/>
  <c r="K131" i="2"/>
  <c r="L131" i="2" s="1"/>
  <c r="K280" i="2"/>
  <c r="K954" i="2"/>
  <c r="L954" i="2" s="1"/>
  <c r="K95" i="2"/>
  <c r="L95" i="2" s="1"/>
  <c r="K283" i="2"/>
  <c r="K374" i="2"/>
  <c r="L374" i="2" s="1"/>
  <c r="K286" i="2"/>
  <c r="K287" i="2"/>
  <c r="L287" i="2" s="1"/>
  <c r="K288" i="2"/>
  <c r="L288" i="2" s="1"/>
  <c r="K377" i="2"/>
  <c r="K255" i="2"/>
  <c r="L255" i="2" s="1"/>
  <c r="K290" i="2"/>
  <c r="L290" i="2" s="1"/>
  <c r="K295" i="2"/>
  <c r="K298" i="2"/>
  <c r="L298" i="2" s="1"/>
  <c r="K301" i="2"/>
  <c r="L301" i="2" s="1"/>
  <c r="K303" i="2"/>
  <c r="L303" i="2" s="1"/>
  <c r="K562" i="2"/>
  <c r="L562" i="2" s="1"/>
  <c r="K304" i="2"/>
  <c r="L304" i="2" s="1"/>
  <c r="K305" i="2"/>
  <c r="L305" i="2" s="1"/>
  <c r="K307" i="2"/>
  <c r="L307" i="2" s="1"/>
  <c r="K308" i="2"/>
  <c r="K323" i="2"/>
  <c r="L323" i="2" s="1"/>
  <c r="K727" i="2"/>
  <c r="L727" i="2" s="1"/>
  <c r="K310" i="2"/>
  <c r="L310" i="2" s="1"/>
  <c r="K312" i="2"/>
  <c r="L312" i="2" s="1"/>
  <c r="K502" i="2"/>
  <c r="L502" i="2" s="1"/>
  <c r="K314" i="2"/>
  <c r="L314" i="2" s="1"/>
  <c r="K315" i="2"/>
  <c r="L315" i="2" s="1"/>
  <c r="K42" i="2"/>
  <c r="K1001" i="2"/>
  <c r="L1001" i="2" s="1"/>
  <c r="K316" i="2"/>
  <c r="L316" i="2" s="1"/>
  <c r="K317" i="2"/>
  <c r="L317" i="2" s="1"/>
  <c r="K319" i="2"/>
  <c r="L319" i="2" s="1"/>
  <c r="K320" i="2"/>
  <c r="L320" i="2" s="1"/>
  <c r="K322" i="2"/>
  <c r="L322" i="2" s="1"/>
  <c r="K324" i="2"/>
  <c r="L324" i="2" s="1"/>
  <c r="K326" i="2"/>
  <c r="K327" i="2"/>
  <c r="L327" i="2" s="1"/>
  <c r="K855" i="2"/>
  <c r="L855" i="2" s="1"/>
  <c r="K330" i="2"/>
  <c r="L330" i="2" s="1"/>
  <c r="K98" i="2"/>
  <c r="L98" i="2" s="1"/>
  <c r="K332" i="2"/>
  <c r="L332" i="2" s="1"/>
  <c r="K336" i="2"/>
  <c r="L336" i="2" s="1"/>
  <c r="K964" i="2"/>
  <c r="L964" i="2" s="1"/>
  <c r="K337" i="2"/>
  <c r="K486" i="2"/>
  <c r="L486" i="2" s="1"/>
  <c r="K338" i="2"/>
  <c r="L338" i="2" s="1"/>
  <c r="K342" i="2"/>
  <c r="L342" i="2" s="1"/>
  <c r="K343" i="2"/>
  <c r="L343" i="2" s="1"/>
  <c r="K711" i="2"/>
  <c r="K345" i="2"/>
  <c r="L345" i="2" s="1"/>
  <c r="K456" i="2"/>
  <c r="L456" i="2" s="1"/>
  <c r="K635" i="2"/>
  <c r="K760" i="2"/>
  <c r="L760" i="2" s="1"/>
  <c r="K650" i="2"/>
  <c r="L650" i="2" s="1"/>
  <c r="K347" i="2"/>
  <c r="L347" i="2" s="1"/>
  <c r="K348" i="2"/>
  <c r="L348" i="2" s="1"/>
  <c r="K484" i="2"/>
  <c r="L484" i="2" s="1"/>
  <c r="K349" i="2"/>
  <c r="L349" i="2" s="1"/>
  <c r="K627" i="2"/>
  <c r="L627" i="2" s="1"/>
  <c r="K422" i="2"/>
  <c r="K352" i="2"/>
  <c r="L352" i="2" s="1"/>
  <c r="K898" i="2"/>
  <c r="L898" i="2" s="1"/>
  <c r="K354" i="2"/>
  <c r="L354" i="2" s="1"/>
  <c r="K184" i="2"/>
  <c r="L184" i="2" s="1"/>
  <c r="K355" i="2"/>
  <c r="K201" i="2"/>
  <c r="L201" i="2" s="1"/>
  <c r="K356" i="2"/>
  <c r="L356" i="2" s="1"/>
  <c r="K876" i="2"/>
  <c r="K359" i="2"/>
  <c r="L359" i="2" s="1"/>
  <c r="K360" i="2"/>
  <c r="L360" i="2" s="1"/>
  <c r="K340" i="2"/>
  <c r="L340" i="2" s="1"/>
  <c r="K271" i="2"/>
  <c r="L271" i="2" s="1"/>
  <c r="K361" i="2"/>
  <c r="L361" i="2" s="1"/>
  <c r="K362" i="2"/>
  <c r="L362" i="2" s="1"/>
  <c r="K363" i="2"/>
  <c r="L363" i="2" s="1"/>
  <c r="K223" i="2"/>
  <c r="K364" i="2"/>
  <c r="L364" i="2" s="1"/>
  <c r="K367" i="2"/>
  <c r="L367" i="2" s="1"/>
  <c r="K369" i="2"/>
  <c r="L369" i="2" s="1"/>
  <c r="K370" i="2"/>
  <c r="L370" i="2" s="1"/>
  <c r="K771" i="2"/>
  <c r="L771" i="2" s="1"/>
  <c r="K659" i="2"/>
  <c r="L659" i="2" s="1"/>
  <c r="K64" i="2"/>
  <c r="L64" i="2" s="1"/>
  <c r="K672" i="2"/>
  <c r="K351" i="2"/>
  <c r="L351" i="2" s="1"/>
  <c r="K55" i="2"/>
  <c r="L55" i="2" s="1"/>
  <c r="K243" i="2"/>
  <c r="L243" i="2" s="1"/>
  <c r="K13" i="2"/>
  <c r="L13" i="2" s="1"/>
  <c r="K703" i="2"/>
  <c r="K989" i="2"/>
  <c r="L989" i="2" s="1"/>
  <c r="K728" i="2"/>
  <c r="L728" i="2" s="1"/>
  <c r="K373" i="2"/>
  <c r="K772" i="2"/>
  <c r="L772" i="2" s="1"/>
  <c r="K381" i="2"/>
  <c r="L381" i="2" s="1"/>
  <c r="K384" i="2"/>
  <c r="L384" i="2" s="1"/>
  <c r="K385" i="2"/>
  <c r="L385" i="2" s="1"/>
  <c r="K386" i="2"/>
  <c r="L386" i="2" s="1"/>
  <c r="K88" i="2"/>
  <c r="L88" i="2" s="1"/>
  <c r="K40" i="2"/>
  <c r="L40" i="2" s="1"/>
  <c r="K636" i="2"/>
  <c r="K228" i="2"/>
  <c r="L228" i="2" s="1"/>
  <c r="K302" i="2"/>
  <c r="K663" i="2"/>
  <c r="L663" i="2" s="1"/>
  <c r="K506" i="2"/>
  <c r="L506" i="2" s="1"/>
  <c r="K447" i="2"/>
  <c r="K388" i="2"/>
  <c r="L388" i="2" s="1"/>
  <c r="K399" i="2"/>
  <c r="L399" i="2" s="1"/>
  <c r="K607" i="2"/>
  <c r="K389" i="2"/>
  <c r="L389" i="2" s="1"/>
  <c r="K392" i="2"/>
  <c r="K657" i="2"/>
  <c r="L657" i="2" s="1"/>
  <c r="K393" i="2"/>
  <c r="L393" i="2" s="1"/>
  <c r="K555" i="2"/>
  <c r="L555" i="2" s="1"/>
  <c r="K331" i="2"/>
  <c r="L331" i="2" s="1"/>
  <c r="K394" i="2"/>
  <c r="L394" i="2" s="1"/>
  <c r="K638" i="2"/>
  <c r="K723" i="2"/>
  <c r="L723" i="2" s="1"/>
  <c r="K469" i="2"/>
  <c r="L469" i="2" s="1"/>
  <c r="K570" i="2"/>
  <c r="L570" i="2" s="1"/>
  <c r="K396" i="2"/>
  <c r="L396" i="2" s="1"/>
  <c r="K705" i="2"/>
  <c r="L705" i="2" s="1"/>
  <c r="K937" i="2"/>
  <c r="L937" i="2" s="1"/>
  <c r="K404" i="2"/>
  <c r="L404" i="2" s="1"/>
  <c r="K190" i="2"/>
  <c r="K121" i="2"/>
  <c r="L121" i="2" s="1"/>
  <c r="K684" i="2"/>
  <c r="L684" i="2" s="1"/>
  <c r="K407" i="2"/>
  <c r="L407" i="2" s="1"/>
  <c r="K682" i="2"/>
  <c r="L682" i="2" s="1"/>
  <c r="K409" i="2"/>
  <c r="L409" i="2" s="1"/>
  <c r="K410" i="2"/>
  <c r="L410" i="2" s="1"/>
  <c r="K411" i="2"/>
  <c r="L411" i="2" s="1"/>
  <c r="K601" i="2"/>
  <c r="K736" i="2"/>
  <c r="L736" i="2" s="1"/>
  <c r="K412" i="2"/>
  <c r="L412" i="2" s="1"/>
  <c r="K118" i="2"/>
  <c r="L118" i="2" s="1"/>
  <c r="K406" i="2"/>
  <c r="L406" i="2" s="1"/>
  <c r="K413" i="2"/>
  <c r="L413" i="2" s="1"/>
  <c r="K414" i="2"/>
  <c r="L414" i="2" s="1"/>
  <c r="K517" i="2"/>
  <c r="L517" i="2" s="1"/>
  <c r="K475" i="2"/>
  <c r="K379" i="2"/>
  <c r="L379" i="2" s="1"/>
  <c r="K416" i="2"/>
  <c r="L416" i="2" s="1"/>
  <c r="K617" i="2"/>
  <c r="L617" i="2" s="1"/>
  <c r="K417" i="2"/>
  <c r="L417" i="2" s="1"/>
  <c r="K260" i="2"/>
  <c r="K844" i="2"/>
  <c r="L844" i="2" s="1"/>
  <c r="K421" i="2"/>
  <c r="L421" i="2" s="1"/>
  <c r="K423" i="2"/>
  <c r="K425" i="2"/>
  <c r="L425" i="2" s="1"/>
  <c r="K160" i="2"/>
  <c r="L160" i="2" s="1"/>
  <c r="K175" i="2"/>
  <c r="L175" i="2" s="1"/>
  <c r="K10" i="2"/>
  <c r="L10" i="2" s="1"/>
  <c r="K426" i="2"/>
  <c r="K217" i="2"/>
  <c r="L217" i="2" s="1"/>
  <c r="K35" i="2"/>
  <c r="L35" i="2" s="1"/>
  <c r="K561" i="2"/>
  <c r="K427" i="2"/>
  <c r="L427" i="2" s="1"/>
  <c r="K639" i="2"/>
  <c r="L639" i="2" s="1"/>
  <c r="K429" i="2"/>
  <c r="L429" i="2" s="1"/>
  <c r="K430" i="2"/>
  <c r="L430" i="2" s="1"/>
  <c r="K270" i="2"/>
  <c r="L270" i="2" s="1"/>
  <c r="K559" i="2"/>
  <c r="L559" i="2" s="1"/>
  <c r="K744" i="2"/>
  <c r="L744" i="2" s="1"/>
  <c r="K431" i="2"/>
  <c r="K433" i="2"/>
  <c r="L433" i="2" s="1"/>
  <c r="K174" i="2"/>
  <c r="L174" i="2" s="1"/>
  <c r="K434" i="2"/>
  <c r="L434" i="2" s="1"/>
  <c r="K435" i="2"/>
  <c r="L435" i="2" s="1"/>
  <c r="K541" i="2"/>
  <c r="L541" i="2" s="1"/>
  <c r="K436" i="2"/>
  <c r="L436" i="2" s="1"/>
  <c r="K497" i="2"/>
  <c r="L497" i="2" s="1"/>
  <c r="K300" i="2"/>
  <c r="K437" i="2"/>
  <c r="L437" i="2" s="1"/>
  <c r="K199" i="2"/>
  <c r="L199" i="2" s="1"/>
  <c r="K438" i="2"/>
  <c r="L438" i="2" s="1"/>
  <c r="K366" i="2"/>
  <c r="L366" i="2" s="1"/>
  <c r="K916" i="2"/>
  <c r="L916" i="2" s="1"/>
  <c r="K839" i="2"/>
  <c r="L839" i="2" s="1"/>
  <c r="K313" i="2"/>
  <c r="L313" i="2" s="1"/>
  <c r="K918" i="2"/>
  <c r="K58" i="2"/>
  <c r="L58" i="2" s="1"/>
  <c r="K735" i="2"/>
  <c r="L735" i="2" s="1"/>
  <c r="K442" i="2"/>
  <c r="L442" i="2" s="1"/>
  <c r="K293" i="2"/>
  <c r="L293" i="2" s="1"/>
  <c r="K443" i="2"/>
  <c r="L443" i="2" s="1"/>
  <c r="K444" i="2"/>
  <c r="L444" i="2" s="1"/>
  <c r="K403" i="2"/>
  <c r="K445" i="2"/>
  <c r="K525" i="2"/>
  <c r="L525" i="2" s="1"/>
  <c r="K191" i="2"/>
  <c r="L191" i="2" s="1"/>
  <c r="K569" i="2"/>
  <c r="L569" i="2" s="1"/>
  <c r="K225" i="2"/>
  <c r="L225" i="2" s="1"/>
  <c r="K450" i="2"/>
  <c r="L450" i="2" s="1"/>
  <c r="K452" i="2"/>
  <c r="L452" i="2" s="1"/>
  <c r="K94" i="2"/>
  <c r="L94" i="2" s="1"/>
  <c r="K455" i="2"/>
  <c r="K975" i="2"/>
  <c r="L975" i="2" s="1"/>
  <c r="K832" i="2"/>
  <c r="L832" i="2" s="1"/>
  <c r="K457" i="2"/>
  <c r="L457" i="2" s="1"/>
  <c r="K459" i="2"/>
  <c r="L459" i="2" s="1"/>
  <c r="K197" i="2"/>
  <c r="L197" i="2" s="1"/>
  <c r="K27" i="2"/>
  <c r="L27" i="2" s="1"/>
  <c r="K461" i="2"/>
  <c r="L461" i="2" s="1"/>
  <c r="K391" i="2"/>
  <c r="K793" i="2"/>
  <c r="L793" i="2" s="1"/>
  <c r="K463" i="2"/>
  <c r="L463" i="2" s="1"/>
  <c r="K465" i="2"/>
  <c r="L465" i="2" s="1"/>
  <c r="K467" i="2"/>
  <c r="L467" i="2" s="1"/>
  <c r="K519" i="2"/>
  <c r="L519" i="2" s="1"/>
  <c r="K470" i="2"/>
  <c r="L470" i="2" s="1"/>
  <c r="K474" i="2"/>
  <c r="L474" i="2" s="1"/>
  <c r="K472" i="2"/>
  <c r="K478" i="2"/>
  <c r="L478" i="2" s="1"/>
  <c r="K479" i="2"/>
  <c r="L479" i="2" s="1"/>
  <c r="K449" i="2"/>
  <c r="L449" i="2" s="1"/>
  <c r="K480" i="2"/>
  <c r="L480" i="2" s="1"/>
  <c r="K482" i="2"/>
  <c r="L482" i="2" s="1"/>
  <c r="K485" i="2"/>
  <c r="L485" i="2" s="1"/>
  <c r="K161" i="2"/>
  <c r="L161" i="2" s="1"/>
  <c r="K458" i="2"/>
  <c r="K487" i="2"/>
  <c r="L487" i="2" s="1"/>
  <c r="K488" i="2"/>
  <c r="L488" i="2" s="1"/>
  <c r="K489" i="2"/>
  <c r="L489" i="2" s="1"/>
  <c r="K493" i="2"/>
  <c r="L493" i="2" s="1"/>
  <c r="K424" i="2"/>
  <c r="L424" i="2" s="1"/>
  <c r="K574" i="2"/>
  <c r="L574" i="2" s="1"/>
  <c r="K768" i="2"/>
  <c r="L768" i="2" s="1"/>
  <c r="K759" i="2"/>
  <c r="K289" i="2"/>
  <c r="L289" i="2" s="1"/>
  <c r="K769" i="2"/>
  <c r="L769" i="2" s="1"/>
  <c r="K496" i="2"/>
  <c r="L496" i="2" s="1"/>
  <c r="K499" i="2"/>
  <c r="L499" i="2" s="1"/>
  <c r="K891" i="2"/>
  <c r="L891" i="2" s="1"/>
  <c r="K501" i="2"/>
  <c r="L501" i="2" s="1"/>
  <c r="K395" i="2"/>
  <c r="L395" i="2" s="1"/>
  <c r="K503" i="2"/>
  <c r="K632" i="2"/>
  <c r="L632" i="2" s="1"/>
  <c r="K897" i="2"/>
  <c r="L897" i="2" s="1"/>
  <c r="K508" i="2"/>
  <c r="L508" i="2" s="1"/>
  <c r="K510" i="2"/>
  <c r="K511" i="2"/>
  <c r="L511" i="2" s="1"/>
  <c r="K73" i="2"/>
  <c r="L73" i="2" s="1"/>
  <c r="K529" i="2"/>
  <c r="L529" i="2" s="1"/>
  <c r="K512" i="2"/>
  <c r="K515" i="2"/>
  <c r="L515" i="2" s="1"/>
  <c r="K516" i="2"/>
  <c r="L516" i="2" s="1"/>
  <c r="K99" i="2"/>
  <c r="L99" i="2" s="1"/>
  <c r="K520" i="2"/>
  <c r="L520" i="2" s="1"/>
  <c r="K521" i="2"/>
  <c r="L521" i="2" s="1"/>
  <c r="K471" i="2"/>
  <c r="L471" i="2" s="1"/>
  <c r="K523" i="2"/>
  <c r="L523" i="2" s="1"/>
  <c r="K524" i="2"/>
  <c r="K526" i="2"/>
  <c r="L526" i="2" s="1"/>
  <c r="K631" i="2"/>
  <c r="L631" i="2" s="1"/>
  <c r="K530" i="2"/>
  <c r="L530" i="2" s="1"/>
  <c r="K256" i="2"/>
  <c r="L256" i="2" s="1"/>
  <c r="K531" i="2"/>
  <c r="L531" i="2" s="1"/>
  <c r="K115" i="2"/>
  <c r="L115" i="2" s="1"/>
  <c r="K532" i="2"/>
  <c r="L532" i="2" s="1"/>
  <c r="K725" i="2"/>
  <c r="K731" i="2"/>
  <c r="L731" i="2" s="1"/>
  <c r="K266" i="2"/>
  <c r="L266" i="2" s="1"/>
  <c r="K189" i="2"/>
  <c r="L189" i="2" s="1"/>
  <c r="K533" i="2"/>
  <c r="L533" i="2" s="1"/>
  <c r="K535" i="2"/>
  <c r="L535" i="2" s="1"/>
  <c r="K536" i="2"/>
  <c r="L536" i="2" s="1"/>
  <c r="K537" i="2"/>
  <c r="L537" i="2" s="1"/>
  <c r="K539" i="2"/>
  <c r="K542" i="2"/>
  <c r="L542" i="2" s="1"/>
  <c r="K543" i="2"/>
  <c r="L543" i="2" s="1"/>
  <c r="K545" i="2"/>
  <c r="L545" i="2" s="1"/>
  <c r="K548" i="2"/>
  <c r="L548" i="2" s="1"/>
  <c r="K828" i="2"/>
  <c r="L828" i="2" s="1"/>
  <c r="K549" i="2"/>
  <c r="L549" i="2" s="1"/>
  <c r="K552" i="2"/>
  <c r="L552" i="2" s="1"/>
  <c r="K553" i="2"/>
  <c r="K554" i="2"/>
  <c r="L554" i="2" s="1"/>
  <c r="K123" i="2"/>
  <c r="L123" i="2" s="1"/>
  <c r="K31" i="2"/>
  <c r="L31" i="2" s="1"/>
  <c r="K556" i="2"/>
  <c r="L556" i="2" s="1"/>
  <c r="K611" i="2"/>
  <c r="L611" i="2" s="1"/>
  <c r="K358" i="2"/>
  <c r="L358" i="2" s="1"/>
  <c r="K557" i="2"/>
  <c r="L557" i="2" s="1"/>
  <c r="K558" i="2"/>
  <c r="K565" i="2"/>
  <c r="L565" i="2" s="1"/>
  <c r="K80" i="2"/>
  <c r="L80" i="2" s="1"/>
  <c r="K567" i="2"/>
  <c r="L567" i="2" s="1"/>
  <c r="K568" i="2"/>
  <c r="L568" i="2" s="1"/>
  <c r="K415" i="2"/>
  <c r="L415" i="2" s="1"/>
  <c r="K572" i="2"/>
  <c r="L572" i="2" s="1"/>
  <c r="K192" i="2"/>
  <c r="L192" i="2" s="1"/>
  <c r="K575" i="2"/>
  <c r="K576" i="2"/>
  <c r="L576" i="2" s="1"/>
  <c r="K579" i="2"/>
  <c r="L579" i="2" s="1"/>
  <c r="K600" i="2"/>
  <c r="L600" i="2" s="1"/>
  <c r="K420" i="2"/>
  <c r="L420" i="2" s="1"/>
  <c r="K581" i="2"/>
  <c r="L581" i="2" s="1"/>
  <c r="K956" i="2"/>
  <c r="L956" i="2" s="1"/>
  <c r="K582" i="2"/>
  <c r="L582" i="2" s="1"/>
  <c r="K583" i="2"/>
  <c r="K448" i="2"/>
  <c r="L448" i="2" s="1"/>
  <c r="K494" i="2"/>
  <c r="L494" i="2" s="1"/>
  <c r="K584" i="2"/>
  <c r="K509" i="2"/>
  <c r="L509" i="2" s="1"/>
  <c r="K630" i="2"/>
  <c r="L630" i="2" s="1"/>
  <c r="K615" i="2"/>
  <c r="L615" i="2" s="1"/>
  <c r="K585" i="2"/>
  <c r="L585" i="2" s="1"/>
  <c r="K311" i="2"/>
  <c r="K586" i="2"/>
  <c r="L586" i="2" s="1"/>
  <c r="K269" i="2"/>
  <c r="L269" i="2" s="1"/>
  <c r="K589" i="2"/>
  <c r="L589" i="2" s="1"/>
  <c r="K251" i="2"/>
  <c r="L251" i="2" s="1"/>
  <c r="K590" i="2"/>
  <c r="K623" i="2"/>
  <c r="L623" i="2" s="1"/>
  <c r="K894" i="2"/>
  <c r="L894" i="2" s="1"/>
  <c r="K931" i="2"/>
  <c r="K592" i="2"/>
  <c r="L592" i="2" s="1"/>
  <c r="K594" i="2"/>
  <c r="L594" i="2" s="1"/>
  <c r="K145" i="2"/>
  <c r="L145" i="2" s="1"/>
  <c r="K353" i="2"/>
  <c r="L353" i="2" s="1"/>
  <c r="K333" i="2"/>
  <c r="L333" i="2" s="1"/>
  <c r="K596" i="2"/>
  <c r="L596" i="2" s="1"/>
  <c r="K936" i="2"/>
  <c r="L936" i="2" s="1"/>
  <c r="K597" i="2"/>
  <c r="K598" i="2"/>
  <c r="L598" i="2" s="1"/>
  <c r="K382" i="2"/>
  <c r="L382" i="2" s="1"/>
  <c r="K573" i="2"/>
  <c r="L573" i="2" s="1"/>
  <c r="K803" i="2"/>
  <c r="L803" i="2" s="1"/>
  <c r="K599" i="2"/>
  <c r="L599" i="2" s="1"/>
  <c r="K602" i="2"/>
  <c r="L602" i="2" s="1"/>
  <c r="K708" i="2"/>
  <c r="L708" i="2" s="1"/>
  <c r="K604" i="2"/>
  <c r="K51" i="2"/>
  <c r="L51" i="2" s="1"/>
  <c r="K608" i="2"/>
  <c r="L608" i="2" s="1"/>
  <c r="K610" i="2"/>
  <c r="L610" i="2" s="1"/>
  <c r="K507" i="2"/>
  <c r="L507" i="2" s="1"/>
  <c r="K108" i="2"/>
  <c r="L108" i="2" s="1"/>
  <c r="K357" i="2"/>
  <c r="L357" i="2" s="1"/>
  <c r="K325" i="2"/>
  <c r="K612" i="2"/>
  <c r="K613" i="2"/>
  <c r="L613" i="2" s="1"/>
  <c r="K18" i="2"/>
  <c r="L18" i="2" s="1"/>
  <c r="K476" i="2"/>
  <c r="L476" i="2" s="1"/>
  <c r="K491" i="2"/>
  <c r="L491" i="2" s="1"/>
  <c r="K616" i="2"/>
  <c r="L616" i="2" s="1"/>
  <c r="K620" i="2"/>
  <c r="L620" i="2" s="1"/>
  <c r="K111" i="2"/>
  <c r="L111" i="2" s="1"/>
  <c r="K375" i="2"/>
  <c r="K513" i="2"/>
  <c r="L513" i="2" s="1"/>
  <c r="K622" i="2"/>
  <c r="L622" i="2" s="1"/>
  <c r="K804" i="2"/>
  <c r="L804" i="2" s="1"/>
  <c r="K328" i="2"/>
  <c r="L328" i="2" s="1"/>
  <c r="K779" i="2"/>
  <c r="L779" i="2" s="1"/>
  <c r="K249" i="2"/>
  <c r="L249" i="2" s="1"/>
  <c r="K306" i="2"/>
  <c r="L306" i="2" s="1"/>
  <c r="K628" i="2"/>
  <c r="K665" i="2"/>
  <c r="L665" i="2" s="1"/>
  <c r="K924" i="2"/>
  <c r="L924" i="2" s="1"/>
  <c r="K641" i="2"/>
  <c r="L641" i="2" s="1"/>
  <c r="K637" i="2"/>
  <c r="L637" i="2" s="1"/>
  <c r="K719" i="2"/>
  <c r="L719" i="2" s="1"/>
  <c r="K724" i="2"/>
  <c r="L724" i="2" s="1"/>
  <c r="K642" i="2"/>
  <c r="L642" i="2" s="1"/>
  <c r="K643" i="2"/>
  <c r="K991" i="2"/>
  <c r="L991" i="2" s="1"/>
  <c r="K887" i="2"/>
  <c r="L887" i="2" s="1"/>
  <c r="K646" i="2"/>
  <c r="L646" i="2" s="1"/>
  <c r="K577" i="2"/>
  <c r="L577" i="2" s="1"/>
  <c r="K647" i="2"/>
  <c r="L647" i="2" s="1"/>
  <c r="K649" i="2"/>
  <c r="L649" i="2" s="1"/>
  <c r="K603" i="2"/>
  <c r="L603" i="2" s="1"/>
  <c r="K453" i="2"/>
  <c r="K651" i="2"/>
  <c r="L651" i="2" s="1"/>
  <c r="K188" i="2"/>
  <c r="L188" i="2" s="1"/>
  <c r="K466" i="2"/>
  <c r="L466" i="2" s="1"/>
  <c r="K652" i="2"/>
  <c r="L652" i="2" s="1"/>
  <c r="K655" i="2"/>
  <c r="L655" i="2" s="1"/>
  <c r="K390" i="2"/>
  <c r="L390" i="2" s="1"/>
  <c r="K661" i="2"/>
  <c r="L661" i="2" s="1"/>
  <c r="K748" i="2"/>
  <c r="K996" i="2"/>
  <c r="L996" i="2" s="1"/>
  <c r="K580" i="2"/>
  <c r="L580" i="2" s="1"/>
  <c r="K667" i="2"/>
  <c r="L667" i="2" s="1"/>
  <c r="K669" i="2"/>
  <c r="L669" i="2" s="1"/>
  <c r="K339" i="2"/>
  <c r="L339" i="2" s="1"/>
  <c r="K670" i="2"/>
  <c r="L670" i="2" s="1"/>
  <c r="K671" i="2"/>
  <c r="K673" i="2"/>
  <c r="K6" i="2"/>
  <c r="L6" i="2" s="1"/>
  <c r="K715" i="2"/>
  <c r="L715" i="2" s="1"/>
  <c r="K462" i="2"/>
  <c r="L462" i="2" s="1"/>
  <c r="K398" i="2"/>
  <c r="L398" i="2" s="1"/>
  <c r="K674" i="2"/>
  <c r="L674" i="2" s="1"/>
  <c r="K675" i="2"/>
  <c r="K677" i="2"/>
  <c r="L677" i="2" s="1"/>
  <c r="K679" i="2"/>
  <c r="K680" i="2"/>
  <c r="L680" i="2" s="1"/>
  <c r="K681" i="2"/>
  <c r="L681" i="2" s="1"/>
  <c r="K629" i="2"/>
  <c r="L629" i="2" s="1"/>
  <c r="K104" i="2"/>
  <c r="L104" i="2" s="1"/>
  <c r="K988" i="2"/>
  <c r="L988" i="2" s="1"/>
  <c r="K105" i="2"/>
  <c r="L105" i="2" s="1"/>
  <c r="K676" i="2"/>
  <c r="L676" i="2" s="1"/>
  <c r="K87" i="2"/>
  <c r="K135" i="2"/>
  <c r="L135" i="2" s="1"/>
  <c r="K209" i="2"/>
  <c r="L209" i="2" s="1"/>
  <c r="K683" i="2"/>
  <c r="L683" i="2" s="1"/>
  <c r="K685" i="2"/>
  <c r="L685" i="2" s="1"/>
  <c r="K686" i="2"/>
  <c r="K50" i="2"/>
  <c r="L50" i="2" s="1"/>
  <c r="K688" i="2"/>
  <c r="L688" i="2" s="1"/>
  <c r="K75" i="2"/>
  <c r="K244" i="2"/>
  <c r="L244" i="2" s="1"/>
  <c r="K689" i="2"/>
  <c r="L689" i="2" s="1"/>
  <c r="K816" i="2"/>
  <c r="L816" i="2" s="1"/>
  <c r="K142" i="2"/>
  <c r="L142" i="2" s="1"/>
  <c r="K151" i="2"/>
  <c r="L151" i="2" s="1"/>
  <c r="K691" i="2"/>
  <c r="L691" i="2" s="1"/>
  <c r="K693" i="2"/>
  <c r="L693" i="2" s="1"/>
  <c r="K490" i="2"/>
  <c r="K694" i="2"/>
  <c r="L694" i="2" s="1"/>
  <c r="K697" i="2"/>
  <c r="L697" i="2" s="1"/>
  <c r="K149" i="2"/>
  <c r="L149" i="2" s="1"/>
  <c r="K861" i="2"/>
  <c r="L861" i="2" s="1"/>
  <c r="K885" i="2"/>
  <c r="L885" i="2" s="1"/>
  <c r="K698" i="2"/>
  <c r="L698" i="2" s="1"/>
  <c r="K994" i="2"/>
  <c r="K59" i="2"/>
  <c r="K699" i="2"/>
  <c r="L699" i="2" s="1"/>
  <c r="K208" i="2"/>
  <c r="L208" i="2" s="1"/>
  <c r="K701" i="2"/>
  <c r="L701" i="2" s="1"/>
  <c r="K704" i="2"/>
  <c r="L704" i="2" s="1"/>
  <c r="K707" i="2"/>
  <c r="L707" i="2" s="1"/>
  <c r="K709" i="2"/>
  <c r="L709" i="2" s="1"/>
  <c r="K710" i="2"/>
  <c r="L710" i="2" s="1"/>
  <c r="K854" i="2"/>
  <c r="K713" i="2"/>
  <c r="L713" i="2" s="1"/>
  <c r="K805" i="2"/>
  <c r="L805" i="2" s="1"/>
  <c r="K291" i="2"/>
  <c r="L291" i="2" s="1"/>
  <c r="K446" i="2"/>
  <c r="L446" i="2" s="1"/>
  <c r="K890" i="2"/>
  <c r="L890" i="2" s="1"/>
  <c r="K714" i="2"/>
  <c r="L714" i="2" s="1"/>
  <c r="K722" i="2"/>
  <c r="L722" i="2" s="1"/>
  <c r="K726" i="2"/>
  <c r="K732" i="2"/>
  <c r="L732" i="2" s="1"/>
  <c r="K734" i="2"/>
  <c r="L734" i="2" s="1"/>
  <c r="K786" i="2"/>
  <c r="L786" i="2" s="1"/>
  <c r="K737" i="2"/>
  <c r="L737" i="2" s="1"/>
  <c r="K739" i="2"/>
  <c r="L739" i="2" s="1"/>
  <c r="K968" i="2"/>
  <c r="L968" i="2" s="1"/>
  <c r="K741" i="2"/>
  <c r="L741" i="2" s="1"/>
  <c r="K882" i="2"/>
  <c r="K122" i="2"/>
  <c r="L122" i="2" s="1"/>
  <c r="K182" i="2"/>
  <c r="L182" i="2" s="1"/>
  <c r="K742" i="2"/>
  <c r="L742" i="2" s="1"/>
  <c r="K619" i="2"/>
  <c r="L619" i="2" s="1"/>
  <c r="K745" i="2"/>
  <c r="L745" i="2" s="1"/>
  <c r="K746" i="2"/>
  <c r="L746" i="2" s="1"/>
  <c r="K159" i="2"/>
  <c r="L159" i="2" s="1"/>
  <c r="K747" i="2"/>
  <c r="K749" i="2"/>
  <c r="L749" i="2" s="1"/>
  <c r="K752" i="2"/>
  <c r="L752" i="2" s="1"/>
  <c r="K754" i="2"/>
  <c r="L754" i="2" s="1"/>
  <c r="K755" i="2"/>
  <c r="L755" i="2" s="1"/>
  <c r="K371" i="2"/>
  <c r="L371" i="2" s="1"/>
  <c r="K756" i="2"/>
  <c r="L756" i="2" s="1"/>
  <c r="K757" i="2"/>
  <c r="L757" i="2" s="1"/>
  <c r="K155" i="2"/>
  <c r="K621" i="2"/>
  <c r="L621" i="2" s="1"/>
  <c r="K368" i="2"/>
  <c r="L368" i="2" s="1"/>
  <c r="K96" i="2"/>
  <c r="L96" i="2" s="1"/>
  <c r="K720" i="2"/>
  <c r="L720" i="2" s="1"/>
  <c r="K808" i="2"/>
  <c r="L808" i="2" s="1"/>
  <c r="K522" i="2"/>
  <c r="K695" i="2"/>
  <c r="L695" i="2" s="1"/>
  <c r="K758" i="2"/>
  <c r="K761" i="2"/>
  <c r="L761" i="2" s="1"/>
  <c r="K979" i="2"/>
  <c r="L979" i="2" s="1"/>
  <c r="K971" i="2"/>
  <c r="L971" i="2" s="1"/>
  <c r="K605" i="2"/>
  <c r="L605" i="2" s="1"/>
  <c r="K762" i="2"/>
  <c r="L762" i="2" s="1"/>
  <c r="K921" i="2"/>
  <c r="L921" i="2" s="1"/>
  <c r="K765" i="2"/>
  <c r="L765" i="2" s="1"/>
  <c r="K766" i="2"/>
  <c r="K858" i="2"/>
  <c r="L858" i="2" s="1"/>
  <c r="K712" i="2"/>
  <c r="L712" i="2" s="1"/>
  <c r="K14" i="2"/>
  <c r="L14" i="2" s="1"/>
  <c r="K419" i="2"/>
  <c r="L419" i="2" s="1"/>
  <c r="K767" i="2"/>
  <c r="L767" i="2" s="1"/>
  <c r="K770" i="2"/>
  <c r="L770" i="2" s="1"/>
  <c r="K773" i="2"/>
  <c r="L773" i="2" s="1"/>
  <c r="K774" i="2"/>
  <c r="K380" i="2"/>
  <c r="L380" i="2" s="1"/>
  <c r="K775" i="2"/>
  <c r="L775" i="2" s="1"/>
  <c r="K776" i="2"/>
  <c r="L776" i="2" s="1"/>
  <c r="K591" i="2"/>
  <c r="L591" i="2" s="1"/>
  <c r="K961" i="2"/>
  <c r="K777" i="2"/>
  <c r="L777" i="2" s="1"/>
  <c r="K654" i="2"/>
  <c r="L654" i="2" s="1"/>
  <c r="K778" i="2"/>
  <c r="K692" i="2"/>
  <c r="L692" i="2" s="1"/>
  <c r="K780" i="2"/>
  <c r="L780" i="2" s="1"/>
  <c r="K473" i="2"/>
  <c r="L473" i="2" s="1"/>
  <c r="K782" i="2"/>
  <c r="L782" i="2" s="1"/>
  <c r="K939" i="2"/>
  <c r="K974" i="2"/>
  <c r="L974" i="2" s="1"/>
  <c r="K606" i="2"/>
  <c r="L606" i="2" s="1"/>
  <c r="K920" i="2"/>
  <c r="K481" i="2"/>
  <c r="L481" i="2" s="1"/>
  <c r="K785" i="2"/>
  <c r="L785" i="2" s="1"/>
  <c r="K787" i="2"/>
  <c r="L787" i="2" s="1"/>
  <c r="K7" i="2"/>
  <c r="L7" i="2" s="1"/>
  <c r="K789" i="2"/>
  <c r="L789" i="2" s="1"/>
  <c r="K139" i="2"/>
  <c r="L139" i="2" s="1"/>
  <c r="K790" i="2"/>
  <c r="L790" i="2" s="1"/>
  <c r="K791" i="2"/>
  <c r="K232" i="2"/>
  <c r="L232" i="2" s="1"/>
  <c r="K408" i="2"/>
  <c r="L408" i="2" s="1"/>
  <c r="K794" i="2"/>
  <c r="L794" i="2" s="1"/>
  <c r="K63" i="2"/>
  <c r="L63" i="2" s="1"/>
  <c r="K795" i="2"/>
  <c r="L795" i="2" s="1"/>
  <c r="K796" i="2"/>
  <c r="L796" i="2" s="1"/>
  <c r="K245" i="2"/>
  <c r="L245" i="2" s="1"/>
  <c r="K432" i="2"/>
  <c r="K905" i="2"/>
  <c r="L905" i="2" s="1"/>
  <c r="K797" i="2"/>
  <c r="L797" i="2" s="1"/>
  <c r="K798" i="2"/>
  <c r="L798" i="2" s="1"/>
  <c r="K297" i="2"/>
  <c r="L297" i="2" s="1"/>
  <c r="K799" i="2"/>
  <c r="L799" i="2" s="1"/>
  <c r="K284" i="2"/>
  <c r="L284" i="2" s="1"/>
  <c r="K801" i="2"/>
  <c r="L801" i="2" s="1"/>
  <c r="K807" i="2"/>
  <c r="K809" i="2"/>
  <c r="L809" i="2" s="1"/>
  <c r="K831" i="2"/>
  <c r="L831" i="2" s="1"/>
  <c r="K540" i="2"/>
  <c r="L540" i="2" s="1"/>
  <c r="K949" i="2"/>
  <c r="L949" i="2" s="1"/>
  <c r="K625" i="2"/>
  <c r="L625" i="2" s="1"/>
  <c r="K811" i="2"/>
  <c r="L811" i="2" s="1"/>
  <c r="K978" i="2"/>
  <c r="L978" i="2" s="1"/>
  <c r="K221" i="2"/>
  <c r="K544" i="2"/>
  <c r="L544" i="2" s="1"/>
  <c r="K114" i="2"/>
  <c r="L114" i="2" s="1"/>
  <c r="K812" i="2"/>
  <c r="L812" i="2" s="1"/>
  <c r="K814" i="2"/>
  <c r="L814" i="2" s="1"/>
  <c r="K810" i="2"/>
  <c r="L810" i="2" s="1"/>
  <c r="K817" i="2"/>
  <c r="L817" i="2" s="1"/>
  <c r="K236" i="2"/>
  <c r="L236" i="2" s="1"/>
  <c r="K967" i="2"/>
  <c r="K818" i="2"/>
  <c r="L818" i="2" s="1"/>
  <c r="K267" i="2"/>
  <c r="L267" i="2" s="1"/>
  <c r="K563" i="2"/>
  <c r="L563" i="2" s="1"/>
  <c r="K819" i="2"/>
  <c r="L819" i="2" s="1"/>
  <c r="K820" i="2"/>
  <c r="L820" i="2" s="1"/>
  <c r="K823" i="2"/>
  <c r="L823" i="2" s="1"/>
  <c r="K468" i="2"/>
  <c r="L468" i="2" s="1"/>
  <c r="K824" i="2"/>
  <c r="K829" i="2"/>
  <c r="L829" i="2" s="1"/>
  <c r="K19" i="2"/>
  <c r="L19" i="2" s="1"/>
  <c r="K825" i="2"/>
  <c r="L825" i="2" s="1"/>
  <c r="K169" i="2"/>
  <c r="L169" i="2" s="1"/>
  <c r="K827" i="2"/>
  <c r="L827" i="2" s="1"/>
  <c r="K834" i="2"/>
  <c r="L834" i="2" s="1"/>
  <c r="K836" i="2"/>
  <c r="L836" i="2" s="1"/>
  <c r="K550" i="2"/>
  <c r="K74" i="2"/>
  <c r="L74" i="2" s="1"/>
  <c r="K500" i="2"/>
  <c r="L500" i="2" s="1"/>
  <c r="K840" i="2"/>
  <c r="L840" i="2" s="1"/>
  <c r="K560" i="2"/>
  <c r="L560" i="2" s="1"/>
  <c r="K451" i="2"/>
  <c r="L451" i="2" s="1"/>
  <c r="K696" i="2"/>
  <c r="L696" i="2" s="1"/>
  <c r="K842" i="2"/>
  <c r="L842" i="2" s="1"/>
  <c r="K72" i="2"/>
  <c r="K845" i="2"/>
  <c r="L845" i="2" s="1"/>
  <c r="K847" i="2"/>
  <c r="L847" i="2" s="1"/>
  <c r="K252" i="2"/>
  <c r="L252" i="2" s="1"/>
  <c r="K848" i="2"/>
  <c r="L848" i="2" s="1"/>
  <c r="K849" i="2"/>
  <c r="L849" i="2" s="1"/>
  <c r="K296" i="2"/>
  <c r="L296" i="2" s="1"/>
  <c r="K850" i="2"/>
  <c r="L850" i="2" s="1"/>
  <c r="K851" i="2"/>
  <c r="K498" i="2"/>
  <c r="L498" i="2" s="1"/>
  <c r="K852" i="2"/>
  <c r="L852" i="2" s="1"/>
  <c r="K285" i="2"/>
  <c r="L285" i="2" s="1"/>
  <c r="K853" i="2"/>
  <c r="L853" i="2" s="1"/>
  <c r="K668" i="2"/>
  <c r="L668" i="2" s="1"/>
  <c r="K856" i="2"/>
  <c r="L856" i="2" s="1"/>
  <c r="K528" i="2"/>
  <c r="L528" i="2" s="1"/>
  <c r="K857" i="2"/>
  <c r="K863" i="2"/>
  <c r="L863" i="2" s="1"/>
  <c r="K864" i="2"/>
  <c r="L864" i="2" s="1"/>
  <c r="K372" i="2"/>
  <c r="L372" i="2" s="1"/>
  <c r="K865" i="2"/>
  <c r="L865" i="2" s="1"/>
  <c r="K868" i="2"/>
  <c r="L868" i="2" s="1"/>
  <c r="K869" i="2"/>
  <c r="L869" i="2" s="1"/>
  <c r="K870" i="2"/>
  <c r="L870" i="2" s="1"/>
  <c r="K871" i="2"/>
  <c r="K872" i="2"/>
  <c r="L872" i="2" s="1"/>
  <c r="K873" i="2"/>
  <c r="L873" i="2" s="1"/>
  <c r="K875" i="2"/>
  <c r="L875" i="2" s="1"/>
  <c r="K862" i="2"/>
  <c r="L862" i="2" s="1"/>
  <c r="K877" i="2"/>
  <c r="K879" i="2"/>
  <c r="L879" i="2" s="1"/>
  <c r="K880" i="2"/>
  <c r="L880" i="2" s="1"/>
  <c r="K881" i="2"/>
  <c r="K717" i="2"/>
  <c r="L717" i="2" s="1"/>
  <c r="K187" i="2"/>
  <c r="L187" i="2" s="1"/>
  <c r="K645" i="2"/>
  <c r="L645" i="2" s="1"/>
  <c r="K883" i="2"/>
  <c r="L883" i="2" s="1"/>
  <c r="K886" i="2"/>
  <c r="L886" i="2" s="1"/>
  <c r="K992" i="2"/>
  <c r="L992" i="2" s="1"/>
  <c r="K946" i="2"/>
  <c r="L946" i="2" s="1"/>
  <c r="K239" i="2"/>
  <c r="K274" i="2"/>
  <c r="L274" i="2" s="1"/>
  <c r="K888" i="2"/>
  <c r="L888" i="2" s="1"/>
  <c r="K400" i="2"/>
  <c r="L400" i="2" s="1"/>
  <c r="K387" i="2"/>
  <c r="L387" i="2" s="1"/>
  <c r="K972" i="2"/>
  <c r="K889" i="2"/>
  <c r="L889" i="2" s="1"/>
  <c r="K495" i="2"/>
  <c r="L495" i="2" s="1"/>
  <c r="K892" i="2"/>
  <c r="K893" i="2"/>
  <c r="L893" i="2" s="1"/>
  <c r="K895" i="2"/>
  <c r="L895" i="2" s="1"/>
  <c r="K571" i="2"/>
  <c r="L571" i="2" s="1"/>
  <c r="K309" i="2"/>
  <c r="L309" i="2" s="1"/>
  <c r="K116" i="2"/>
  <c r="L116" i="2" s="1"/>
  <c r="K896" i="2"/>
  <c r="L896" i="2" s="1"/>
  <c r="K899" i="2"/>
  <c r="L899" i="2" s="1"/>
  <c r="K341" i="2"/>
  <c r="K914" i="2"/>
  <c r="L914" i="2" s="1"/>
  <c r="K900" i="2"/>
  <c r="L900" i="2" s="1"/>
  <c r="K901" i="2"/>
  <c r="L901" i="2" s="1"/>
  <c r="K903" i="2"/>
  <c r="L903" i="2" s="1"/>
  <c r="K428" i="2"/>
  <c r="L428" i="2" s="1"/>
  <c r="K906" i="2"/>
  <c r="L906" i="2" s="1"/>
  <c r="K405" i="2"/>
  <c r="L405" i="2" s="1"/>
  <c r="K911" i="2"/>
  <c r="K907" i="2"/>
  <c r="L907" i="2" s="1"/>
  <c r="K908" i="2"/>
  <c r="L908" i="2" s="1"/>
  <c r="K909" i="2"/>
  <c r="L909" i="2" s="1"/>
  <c r="K910" i="2"/>
  <c r="L910" i="2" s="1"/>
  <c r="K212" i="2"/>
  <c r="L212" i="2" s="1"/>
  <c r="K912" i="2"/>
  <c r="L912" i="2" s="1"/>
  <c r="K514" i="2"/>
  <c r="L514" i="2" s="1"/>
  <c r="K821" i="2"/>
  <c r="K915" i="2"/>
  <c r="L915" i="2" s="1"/>
  <c r="K837" i="2"/>
  <c r="L837" i="2" s="1"/>
  <c r="K917" i="2"/>
  <c r="L917" i="2" s="1"/>
  <c r="K919" i="2"/>
  <c r="L919" i="2" s="1"/>
  <c r="K922" i="2"/>
  <c r="L922" i="2" s="1"/>
  <c r="K763" i="2"/>
  <c r="L763" i="2" s="1"/>
  <c r="K925" i="2"/>
  <c r="L925" i="2" s="1"/>
  <c r="K141" i="2"/>
  <c r="K926" i="2"/>
  <c r="L926" i="2" s="1"/>
  <c r="K927" i="2"/>
  <c r="L927" i="2" s="1"/>
  <c r="K928" i="2"/>
  <c r="L928" i="2" s="1"/>
  <c r="K65" i="2"/>
  <c r="L65" i="2" s="1"/>
  <c r="K441" i="2"/>
  <c r="L441" i="2" s="1"/>
  <c r="K929" i="2"/>
  <c r="L929" i="2" s="1"/>
  <c r="K930" i="2"/>
  <c r="L930" i="2" s="1"/>
  <c r="K792" i="2"/>
  <c r="K932" i="2"/>
  <c r="L932" i="2" s="1"/>
  <c r="K933" i="2"/>
  <c r="L933" i="2" s="1"/>
  <c r="K843" i="2"/>
  <c r="L843" i="2" s="1"/>
  <c r="K614" i="2"/>
  <c r="L614" i="2" s="1"/>
  <c r="K934" i="2"/>
  <c r="L934" i="2" s="1"/>
  <c r="K935" i="2"/>
  <c r="L935" i="2" s="1"/>
  <c r="K62" i="2"/>
  <c r="L62" i="2" s="1"/>
  <c r="K938" i="2"/>
  <c r="K940" i="2"/>
  <c r="L940" i="2" s="1"/>
  <c r="K923" i="2"/>
  <c r="L923" i="2" s="1"/>
  <c r="K664" i="2"/>
  <c r="L664" i="2" s="1"/>
  <c r="K941" i="2"/>
  <c r="L941" i="2" s="1"/>
  <c r="K942" i="2"/>
  <c r="L942" i="2" s="1"/>
  <c r="K231" i="2"/>
  <c r="L231" i="2" s="1"/>
  <c r="K943" i="2"/>
  <c r="L943" i="2" s="1"/>
  <c r="K944" i="2"/>
  <c r="K859" i="2"/>
  <c r="L859" i="2" s="1"/>
  <c r="K980" i="2"/>
  <c r="L980" i="2" s="1"/>
  <c r="K945" i="2"/>
  <c r="L945" i="2" s="1"/>
  <c r="K950" i="2"/>
  <c r="L950" i="2" s="1"/>
  <c r="K951" i="2"/>
  <c r="L951" i="2" s="1"/>
  <c r="K884" i="2"/>
  <c r="L884" i="2" s="1"/>
  <c r="K618" i="2"/>
  <c r="K263" i="2"/>
  <c r="K624" i="2"/>
  <c r="L624" i="2" s="1"/>
  <c r="K952" i="2"/>
  <c r="L952" i="2" s="1"/>
  <c r="K833" i="2"/>
  <c r="L833" i="2" s="1"/>
  <c r="K750" i="2"/>
  <c r="L750" i="2" s="1"/>
  <c r="K953" i="2"/>
  <c r="L953" i="2" s="1"/>
  <c r="K955" i="2"/>
  <c r="L955" i="2" s="1"/>
  <c r="K700" i="2"/>
  <c r="L700" i="2" s="1"/>
  <c r="K957" i="2"/>
  <c r="K958" i="2"/>
  <c r="L958" i="2" s="1"/>
  <c r="K959" i="2"/>
  <c r="L959" i="2" s="1"/>
  <c r="K588" i="2"/>
  <c r="L588" i="2" s="1"/>
  <c r="K960" i="2"/>
  <c r="L960" i="2" s="1"/>
  <c r="K279" i="2"/>
  <c r="L279" i="2" s="1"/>
  <c r="K962" i="2"/>
  <c r="L962" i="2" s="1"/>
  <c r="K963" i="2"/>
  <c r="L963" i="2" s="1"/>
  <c r="K783" i="2"/>
  <c r="K128" i="2"/>
  <c r="L128" i="2" s="1"/>
  <c r="K965" i="2"/>
  <c r="L965" i="2" s="1"/>
  <c r="K564" i="2"/>
  <c r="L564" i="2" s="1"/>
  <c r="K966" i="2"/>
  <c r="L966" i="2" s="1"/>
  <c r="K969" i="2"/>
  <c r="K970" i="2"/>
  <c r="L970" i="2" s="1"/>
  <c r="K976" i="2"/>
  <c r="L976" i="2" s="1"/>
  <c r="K981" i="2"/>
  <c r="K983" i="2"/>
  <c r="L983" i="2" s="1"/>
  <c r="K985" i="2"/>
  <c r="L985" i="2" s="1"/>
  <c r="K986" i="2"/>
  <c r="L986" i="2" s="1"/>
  <c r="K841" i="2"/>
  <c r="L841" i="2" s="1"/>
  <c r="K987" i="2"/>
  <c r="L987" i="2" s="1"/>
  <c r="K973" i="2"/>
  <c r="L973" i="2" s="1"/>
  <c r="K990" i="2"/>
  <c r="L990" i="2" s="1"/>
  <c r="K56" i="2"/>
  <c r="K993" i="2"/>
  <c r="L993" i="2" s="1"/>
  <c r="K687" i="2"/>
  <c r="L687" i="2" s="1"/>
  <c r="K527" i="2"/>
  <c r="L527" i="2" s="1"/>
  <c r="K181" i="2"/>
  <c r="L181" i="2" s="1"/>
  <c r="K733" i="2"/>
  <c r="L733" i="2" s="1"/>
  <c r="K492" i="2"/>
  <c r="L492" i="2" s="1"/>
  <c r="K867" i="2"/>
  <c r="K997" i="2"/>
  <c r="K329" i="2"/>
  <c r="L329" i="2" s="1"/>
  <c r="K998" i="2"/>
  <c r="L998" i="2" s="1"/>
  <c r="K658" i="2"/>
  <c r="L658" i="2" s="1"/>
  <c r="K874" i="2"/>
  <c r="L874" i="2" s="1"/>
  <c r="K321" i="2"/>
  <c r="L321" i="2" s="1"/>
  <c r="K999" i="2"/>
  <c r="L999" i="2" s="1"/>
  <c r="K1000" i="2"/>
  <c r="L1000" i="2" s="1"/>
  <c r="K566" i="2"/>
  <c r="K593" i="2"/>
  <c r="L593" i="2" s="1"/>
  <c r="L9" i="2"/>
  <c r="L11" i="2"/>
  <c r="L826" i="2"/>
  <c r="L22" i="2"/>
  <c r="L740" i="2"/>
  <c r="L30" i="2"/>
  <c r="L32" i="2"/>
  <c r="L39" i="2"/>
  <c r="L49" i="2"/>
  <c r="L57" i="2"/>
  <c r="L609" i="2"/>
  <c r="L68" i="2"/>
  <c r="L69" i="2"/>
  <c r="L751" i="2"/>
  <c r="L76" i="2"/>
  <c r="L806" i="2"/>
  <c r="L84" i="2"/>
  <c r="L378" i="2"/>
  <c r="L813" i="2"/>
  <c r="L92" i="2"/>
  <c r="L334" i="2"/>
  <c r="L860" i="2"/>
  <c r="L106" i="2"/>
  <c r="L117" i="2"/>
  <c r="L120" i="2"/>
  <c r="L53" i="2"/>
  <c r="L130" i="2"/>
  <c r="L250" i="2"/>
  <c r="L136" i="2"/>
  <c r="L140" i="2"/>
  <c r="L150" i="2"/>
  <c r="L158" i="2"/>
  <c r="L165" i="2"/>
  <c r="L168" i="2"/>
  <c r="L176" i="2"/>
  <c r="L183" i="2"/>
  <c r="L194" i="2"/>
  <c r="L196" i="2"/>
  <c r="L204" i="2"/>
  <c r="L93" i="2"/>
  <c r="L214" i="2"/>
  <c r="L220" i="2"/>
  <c r="L224" i="2"/>
  <c r="L226" i="2"/>
  <c r="L626" i="2"/>
  <c r="L237" i="2"/>
  <c r="L238" i="2"/>
  <c r="L198" i="2"/>
  <c r="L904" i="2"/>
  <c r="L257" i="2"/>
  <c r="L653" i="2"/>
  <c r="L273" i="2"/>
  <c r="L335" i="2"/>
  <c r="L280" i="2"/>
  <c r="L283" i="2"/>
  <c r="L286" i="2"/>
  <c r="L377" i="2"/>
  <c r="L295" i="2"/>
  <c r="L308" i="2"/>
  <c r="L42" i="2"/>
  <c r="L326" i="2"/>
  <c r="L337" i="2"/>
  <c r="L711" i="2"/>
  <c r="L635" i="2"/>
  <c r="L422" i="2"/>
  <c r="L355" i="2"/>
  <c r="L876" i="2"/>
  <c r="L223" i="2"/>
  <c r="L672" i="2"/>
  <c r="L703" i="2"/>
  <c r="L373" i="2"/>
  <c r="L636" i="2"/>
  <c r="L302" i="2"/>
  <c r="L447" i="2"/>
  <c r="L607" i="2"/>
  <c r="L392" i="2"/>
  <c r="L638" i="2"/>
  <c r="L190" i="2"/>
  <c r="L601" i="2"/>
  <c r="L475" i="2"/>
  <c r="L260" i="2"/>
  <c r="L423" i="2"/>
  <c r="L426" i="2"/>
  <c r="L561" i="2"/>
  <c r="L431" i="2"/>
  <c r="L300" i="2"/>
  <c r="L918" i="2"/>
  <c r="L403" i="2"/>
  <c r="L445" i="2"/>
  <c r="L455" i="2"/>
  <c r="L391" i="2"/>
  <c r="L472" i="2"/>
  <c r="L458" i="2"/>
  <c r="L759" i="2"/>
  <c r="L503" i="2"/>
  <c r="L510" i="2"/>
  <c r="L512" i="2"/>
  <c r="L524" i="2"/>
  <c r="L725" i="2"/>
  <c r="L539" i="2"/>
  <c r="L553" i="2"/>
  <c r="L558" i="2"/>
  <c r="L575" i="2"/>
  <c r="L583" i="2"/>
  <c r="L584" i="2"/>
  <c r="L311" i="2"/>
  <c r="L590" i="2"/>
  <c r="L931" i="2"/>
  <c r="L597" i="2"/>
  <c r="L604" i="2"/>
  <c r="L325" i="2"/>
  <c r="L612" i="2"/>
  <c r="L375" i="2"/>
  <c r="L628" i="2"/>
  <c r="L643" i="2"/>
  <c r="L453" i="2"/>
  <c r="L748" i="2"/>
  <c r="L671" i="2"/>
  <c r="L673" i="2"/>
  <c r="L675" i="2"/>
  <c r="L679" i="2"/>
  <c r="L87" i="2"/>
  <c r="L686" i="2"/>
  <c r="L75" i="2"/>
  <c r="L490" i="2"/>
  <c r="L994" i="2"/>
  <c r="L59" i="2"/>
  <c r="L854" i="2"/>
  <c r="L726" i="2"/>
  <c r="L882" i="2"/>
  <c r="L747" i="2"/>
  <c r="L155" i="2"/>
  <c r="L522" i="2"/>
  <c r="L758" i="2"/>
  <c r="L766" i="2"/>
  <c r="L774" i="2"/>
  <c r="L961" i="2"/>
  <c r="L778" i="2"/>
  <c r="L939" i="2"/>
  <c r="L920" i="2"/>
  <c r="L791" i="2"/>
  <c r="L432" i="2"/>
  <c r="L807" i="2"/>
  <c r="L221" i="2"/>
  <c r="L967" i="2"/>
  <c r="L824" i="2"/>
  <c r="L550" i="2"/>
  <c r="L72" i="2"/>
  <c r="L851" i="2"/>
  <c r="L857" i="2"/>
  <c r="L871" i="2"/>
  <c r="L877" i="2"/>
  <c r="L881" i="2"/>
  <c r="L239" i="2"/>
  <c r="L972" i="2"/>
  <c r="L892" i="2"/>
  <c r="L341" i="2"/>
  <c r="L911" i="2"/>
  <c r="L821" i="2"/>
  <c r="L141" i="2"/>
  <c r="L792" i="2"/>
  <c r="L938" i="2"/>
  <c r="L944" i="2"/>
  <c r="L618" i="2"/>
  <c r="L263" i="2"/>
  <c r="L957" i="2"/>
  <c r="L783" i="2"/>
  <c r="L969" i="2"/>
  <c r="L981" i="2"/>
  <c r="L56" i="2"/>
  <c r="L867" i="2"/>
  <c r="L997" i="2"/>
  <c r="L566" i="2"/>
  <c r="N2" i="2"/>
  <c r="N3" i="2"/>
  <c r="N5" i="2"/>
  <c r="N9" i="2"/>
  <c r="N822" i="2"/>
  <c r="N110" i="2"/>
  <c r="N11" i="2"/>
  <c r="N439" i="2"/>
  <c r="N12" i="2"/>
  <c r="N534" i="2"/>
  <c r="N802" i="2"/>
  <c r="N15" i="2"/>
  <c r="N16" i="2"/>
  <c r="N17" i="2"/>
  <c r="N826" i="2"/>
  <c r="N21" i="2"/>
  <c r="N22" i="2"/>
  <c r="N261" i="2"/>
  <c r="N644" i="2"/>
  <c r="N25" i="2"/>
  <c r="N113" i="2"/>
  <c r="N551" i="2"/>
  <c r="N740" i="2"/>
  <c r="N718" i="2"/>
  <c r="N26" i="2"/>
  <c r="N28" i="2"/>
  <c r="N29" i="2"/>
  <c r="N30" i="2"/>
  <c r="N730" i="2"/>
  <c r="N800" i="2"/>
  <c r="N32" i="2"/>
  <c r="N505" i="2"/>
  <c r="N36" i="2"/>
  <c r="N282" i="2"/>
  <c r="N37" i="2"/>
  <c r="N216" i="2"/>
  <c r="N38" i="2"/>
  <c r="N547" i="2"/>
  <c r="N39" i="2"/>
  <c r="N43" i="2"/>
  <c r="N764" i="2"/>
  <c r="N44" i="2"/>
  <c r="N45" i="2"/>
  <c r="N47" i="2"/>
  <c r="N24" i="2"/>
  <c r="N48" i="2"/>
  <c r="N49" i="2"/>
  <c r="N538" i="2"/>
  <c r="N52" i="2"/>
  <c r="N54" i="2"/>
  <c r="N662" i="2"/>
  <c r="N57" i="2"/>
  <c r="N460" i="2"/>
  <c r="N666" i="2"/>
  <c r="N609" i="2"/>
  <c r="N60" i="2"/>
  <c r="N127" i="2"/>
  <c r="N61" i="2"/>
  <c r="N66" i="2"/>
  <c r="N67" i="2"/>
  <c r="N8" i="2"/>
  <c r="N578" i="2"/>
  <c r="N68" i="2"/>
  <c r="N947" i="2"/>
  <c r="N69" i="2"/>
  <c r="N721" i="2"/>
  <c r="N70" i="2"/>
  <c r="N751" i="2"/>
  <c r="N716" i="2"/>
  <c r="N71" i="2"/>
  <c r="N76" i="2"/>
  <c r="N4" i="2"/>
  <c r="N77" i="2"/>
  <c r="N78" i="2"/>
  <c r="N81" i="2"/>
  <c r="N82" i="2"/>
  <c r="N977" i="2"/>
  <c r="N835" i="2"/>
  <c r="N806" i="2"/>
  <c r="N640" i="2"/>
  <c r="N350" i="2"/>
  <c r="N83" i="2"/>
  <c r="N781" i="2"/>
  <c r="N84" i="2"/>
  <c r="N743" i="2"/>
  <c r="N85" i="2"/>
  <c r="N378" i="2"/>
  <c r="N454" i="2"/>
  <c r="N813" i="2"/>
  <c r="N86" i="2"/>
  <c r="N89" i="2"/>
  <c r="N830" i="2"/>
  <c r="N90" i="2"/>
  <c r="N91" i="2"/>
  <c r="N92" i="2"/>
  <c r="N483" i="2"/>
  <c r="N97" i="2"/>
  <c r="N100" i="2"/>
  <c r="N648" i="2"/>
  <c r="N334" i="2"/>
  <c r="N101" i="2"/>
  <c r="N167" i="2"/>
  <c r="N860" i="2"/>
  <c r="N102" i="2"/>
  <c r="N103" i="2"/>
  <c r="N106" i="2"/>
  <c r="N107" i="2"/>
  <c r="N984" i="2"/>
  <c r="N397" i="2"/>
  <c r="N109" i="2"/>
  <c r="N117" i="2"/>
  <c r="N119" i="2"/>
  <c r="N120" i="2"/>
  <c r="N125" i="2"/>
  <c r="N788" i="2"/>
  <c r="N126" i="2"/>
  <c r="N346" i="2"/>
  <c r="N402" i="2"/>
  <c r="N53" i="2"/>
  <c r="N595" i="2"/>
  <c r="N318" i="2"/>
  <c r="N784" i="2"/>
  <c r="N129" i="2"/>
  <c r="N660" i="2"/>
  <c r="N294" i="2"/>
  <c r="N130" i="2"/>
  <c r="N250" i="2"/>
  <c r="N132" i="2"/>
  <c r="N418" i="2"/>
  <c r="N134" i="2"/>
  <c r="N815" i="2"/>
  <c r="N136" i="2"/>
  <c r="N137" i="2"/>
  <c r="N138" i="2"/>
  <c r="N140" i="2"/>
  <c r="N376" i="2"/>
  <c r="N143" i="2"/>
  <c r="N144" i="2"/>
  <c r="N464" i="2"/>
  <c r="N146" i="2"/>
  <c r="N147" i="2"/>
  <c r="N148" i="2"/>
  <c r="N150" i="2"/>
  <c r="N152" i="2"/>
  <c r="N153" i="2"/>
  <c r="N477" i="2"/>
  <c r="N634" i="2"/>
  <c r="N154" i="2"/>
  <c r="N178" i="2"/>
  <c r="N156" i="2"/>
  <c r="N158" i="2"/>
  <c r="N504" i="2"/>
  <c r="N164" i="2"/>
  <c r="N729" i="2"/>
  <c r="N247" i="2"/>
  <c r="N165" i="2"/>
  <c r="N166" i="2"/>
  <c r="N20" i="2"/>
  <c r="N168" i="2"/>
  <c r="N157" i="2"/>
  <c r="N170" i="2"/>
  <c r="N171" i="2"/>
  <c r="N982" i="2"/>
  <c r="N913" i="2"/>
  <c r="N172" i="2"/>
  <c r="N173" i="2"/>
  <c r="N176" i="2"/>
  <c r="N738" i="2"/>
  <c r="N344" i="2"/>
  <c r="N995" i="2"/>
  <c r="N177" i="2"/>
  <c r="N179" i="2"/>
  <c r="N633" i="2"/>
  <c r="N180" i="2"/>
  <c r="N183" i="2"/>
  <c r="N185" i="2"/>
  <c r="N902" i="2"/>
  <c r="N186" i="2"/>
  <c r="N41" i="2"/>
  <c r="N706" i="2"/>
  <c r="N587" i="2"/>
  <c r="N193" i="2"/>
  <c r="N194" i="2"/>
  <c r="N678" i="2"/>
  <c r="N292" i="2"/>
  <c r="N401" i="2"/>
  <c r="N195" i="2"/>
  <c r="N196" i="2"/>
  <c r="N163" i="2"/>
  <c r="N200" i="2"/>
  <c r="N204" i="2"/>
  <c r="N203" i="2"/>
  <c r="N206" i="2"/>
  <c r="N546" i="2"/>
  <c r="N753" i="2"/>
  <c r="N207" i="2"/>
  <c r="N133" i="2"/>
  <c r="N365" i="2"/>
  <c r="N93" i="2"/>
  <c r="N210" i="2"/>
  <c r="N878" i="2"/>
  <c r="N124" i="2"/>
  <c r="N211" i="2"/>
  <c r="N846" i="2"/>
  <c r="N281" i="2"/>
  <c r="N213" i="2"/>
  <c r="N214" i="2"/>
  <c r="N46" i="2"/>
  <c r="N215" i="2"/>
  <c r="N218" i="2"/>
  <c r="N702" i="2"/>
  <c r="N219" i="2"/>
  <c r="N246" i="2"/>
  <c r="N33" i="2"/>
  <c r="N220" i="2"/>
  <c r="N440" i="2"/>
  <c r="N112" i="2"/>
  <c r="N222" i="2"/>
  <c r="N518" i="2"/>
  <c r="N224" i="2"/>
  <c r="N226" i="2"/>
  <c r="N227" i="2"/>
  <c r="N626" i="2"/>
  <c r="N866" i="2"/>
  <c r="N229" i="2"/>
  <c r="N230" i="2"/>
  <c r="N205" i="2"/>
  <c r="N233" i="2"/>
  <c r="N234" i="2"/>
  <c r="N23" i="2"/>
  <c r="N237" i="2"/>
  <c r="N656" i="2"/>
  <c r="N235" i="2"/>
  <c r="N383" i="2"/>
  <c r="N202" i="2"/>
  <c r="N238" i="2"/>
  <c r="N240" i="2"/>
  <c r="N198" i="2"/>
  <c r="N904" i="2"/>
  <c r="N241" i="2"/>
  <c r="N242" i="2"/>
  <c r="N248" i="2"/>
  <c r="N690" i="2"/>
  <c r="N948" i="2"/>
  <c r="N253" i="2"/>
  <c r="N257" i="2"/>
  <c r="N838" i="2"/>
  <c r="N258" i="2"/>
  <c r="N259" i="2"/>
  <c r="N262" i="2"/>
  <c r="N79" i="2"/>
  <c r="N264" i="2"/>
  <c r="N265" i="2"/>
  <c r="N653" i="2"/>
  <c r="N299" i="2"/>
  <c r="N268" i="2"/>
  <c r="N34" i="2"/>
  <c r="N272" i="2"/>
  <c r="N273" i="2"/>
  <c r="N275" i="2"/>
  <c r="N276" i="2"/>
  <c r="N335" i="2"/>
  <c r="N277" i="2"/>
  <c r="N278" i="2"/>
  <c r="N162" i="2"/>
  <c r="N131" i="2"/>
  <c r="N280" i="2"/>
  <c r="N954" i="2"/>
  <c r="N95" i="2"/>
  <c r="N283" i="2"/>
  <c r="N374" i="2"/>
  <c r="N286" i="2"/>
  <c r="N287" i="2"/>
  <c r="N288" i="2"/>
  <c r="N377" i="2"/>
  <c r="N255" i="2"/>
  <c r="N290" i="2"/>
  <c r="N295" i="2"/>
  <c r="N298" i="2"/>
  <c r="N301" i="2"/>
  <c r="N303" i="2"/>
  <c r="N562" i="2"/>
  <c r="N304" i="2"/>
  <c r="N305" i="2"/>
  <c r="N307" i="2"/>
  <c r="N308" i="2"/>
  <c r="N323" i="2"/>
  <c r="N727" i="2"/>
  <c r="N310" i="2"/>
  <c r="N312" i="2"/>
  <c r="N502" i="2"/>
  <c r="N314" i="2"/>
  <c r="N315" i="2"/>
  <c r="N42" i="2"/>
  <c r="N1001" i="2"/>
  <c r="N316" i="2"/>
  <c r="N317" i="2"/>
  <c r="N319" i="2"/>
  <c r="N320" i="2"/>
  <c r="N322" i="2"/>
  <c r="N324" i="2"/>
  <c r="N326" i="2"/>
  <c r="N327" i="2"/>
  <c r="N855" i="2"/>
  <c r="N330" i="2"/>
  <c r="N98" i="2"/>
  <c r="N332" i="2"/>
  <c r="N336" i="2"/>
  <c r="N964" i="2"/>
  <c r="N337" i="2"/>
  <c r="N486" i="2"/>
  <c r="N338" i="2"/>
  <c r="N342" i="2"/>
  <c r="N343" i="2"/>
  <c r="N711" i="2"/>
  <c r="N345" i="2"/>
  <c r="N456" i="2"/>
  <c r="N635" i="2"/>
  <c r="N760" i="2"/>
  <c r="N650" i="2"/>
  <c r="N347" i="2"/>
  <c r="N348" i="2"/>
  <c r="N484" i="2"/>
  <c r="N349" i="2"/>
  <c r="N627" i="2"/>
  <c r="N422" i="2"/>
  <c r="N352" i="2"/>
  <c r="N898" i="2"/>
  <c r="N354" i="2"/>
  <c r="N184" i="2"/>
  <c r="N355" i="2"/>
  <c r="N201" i="2"/>
  <c r="N356" i="2"/>
  <c r="N876" i="2"/>
  <c r="N359" i="2"/>
  <c r="N360" i="2"/>
  <c r="N340" i="2"/>
  <c r="N271" i="2"/>
  <c r="N361" i="2"/>
  <c r="N362" i="2"/>
  <c r="N363" i="2"/>
  <c r="N223" i="2"/>
  <c r="N364" i="2"/>
  <c r="N367" i="2"/>
  <c r="N369" i="2"/>
  <c r="N370" i="2"/>
  <c r="N771" i="2"/>
  <c r="N659" i="2"/>
  <c r="N64" i="2"/>
  <c r="N672" i="2"/>
  <c r="N351" i="2"/>
  <c r="N55" i="2"/>
  <c r="N243" i="2"/>
  <c r="N13" i="2"/>
  <c r="N703" i="2"/>
  <c r="N989" i="2"/>
  <c r="N728" i="2"/>
  <c r="N373" i="2"/>
  <c r="N772" i="2"/>
  <c r="N381" i="2"/>
  <c r="N384" i="2"/>
  <c r="N385" i="2"/>
  <c r="N386" i="2"/>
  <c r="N88" i="2"/>
  <c r="N40" i="2"/>
  <c r="N636" i="2"/>
  <c r="N228" i="2"/>
  <c r="N302" i="2"/>
  <c r="N663" i="2"/>
  <c r="N506" i="2"/>
  <c r="N447" i="2"/>
  <c r="N388" i="2"/>
  <c r="N399" i="2"/>
  <c r="N607" i="2"/>
  <c r="N389" i="2"/>
  <c r="N392" i="2"/>
  <c r="N657" i="2"/>
  <c r="N393" i="2"/>
  <c r="N555" i="2"/>
  <c r="N331" i="2"/>
  <c r="N394" i="2"/>
  <c r="N638" i="2"/>
  <c r="N723" i="2"/>
  <c r="N469" i="2"/>
  <c r="N570" i="2"/>
  <c r="N396" i="2"/>
  <c r="N705" i="2"/>
  <c r="N937" i="2"/>
  <c r="N404" i="2"/>
  <c r="N190" i="2"/>
  <c r="N121" i="2"/>
  <c r="N684" i="2"/>
  <c r="N407" i="2"/>
  <c r="N682" i="2"/>
  <c r="N409" i="2"/>
  <c r="N410" i="2"/>
  <c r="N411" i="2"/>
  <c r="N601" i="2"/>
  <c r="N736" i="2"/>
  <c r="N412" i="2"/>
  <c r="N118" i="2"/>
  <c r="N406" i="2"/>
  <c r="N413" i="2"/>
  <c r="N414" i="2"/>
  <c r="N517" i="2"/>
  <c r="N475" i="2"/>
  <c r="N379" i="2"/>
  <c r="N416" i="2"/>
  <c r="N617" i="2"/>
  <c r="N417" i="2"/>
  <c r="N260" i="2"/>
  <c r="N844" i="2"/>
  <c r="N421" i="2"/>
  <c r="N423" i="2"/>
  <c r="N425" i="2"/>
  <c r="N160" i="2"/>
  <c r="N175" i="2"/>
  <c r="N10" i="2"/>
  <c r="N426" i="2"/>
  <c r="N217" i="2"/>
  <c r="N35" i="2"/>
  <c r="N561" i="2"/>
  <c r="N427" i="2"/>
  <c r="N639" i="2"/>
  <c r="N429" i="2"/>
  <c r="N430" i="2"/>
  <c r="N270" i="2"/>
  <c r="N559" i="2"/>
  <c r="N744" i="2"/>
  <c r="N431" i="2"/>
  <c r="N433" i="2"/>
  <c r="N174" i="2"/>
  <c r="N434" i="2"/>
  <c r="N435" i="2"/>
  <c r="N541" i="2"/>
  <c r="N436" i="2"/>
  <c r="N497" i="2"/>
  <c r="N300" i="2"/>
  <c r="N437" i="2"/>
  <c r="N199" i="2"/>
  <c r="N438" i="2"/>
  <c r="N366" i="2"/>
  <c r="N916" i="2"/>
  <c r="N839" i="2"/>
  <c r="N313" i="2"/>
  <c r="N918" i="2"/>
  <c r="N58" i="2"/>
  <c r="N735" i="2"/>
  <c r="N442" i="2"/>
  <c r="N293" i="2"/>
  <c r="N443" i="2"/>
  <c r="N444" i="2"/>
  <c r="N403" i="2"/>
  <c r="N445" i="2"/>
  <c r="N525" i="2"/>
  <c r="N191" i="2"/>
  <c r="N569" i="2"/>
  <c r="N225" i="2"/>
  <c r="N450" i="2"/>
  <c r="N452" i="2"/>
  <c r="N94" i="2"/>
  <c r="N455" i="2"/>
  <c r="N975" i="2"/>
  <c r="N832" i="2"/>
  <c r="N457" i="2"/>
  <c r="N459" i="2"/>
  <c r="N197" i="2"/>
  <c r="N27" i="2"/>
  <c r="N461" i="2"/>
  <c r="N391" i="2"/>
  <c r="N793" i="2"/>
  <c r="N463" i="2"/>
  <c r="N465" i="2"/>
  <c r="N467" i="2"/>
  <c r="N519" i="2"/>
  <c r="N470" i="2"/>
  <c r="N474" i="2"/>
  <c r="N472" i="2"/>
  <c r="N478" i="2"/>
  <c r="N479" i="2"/>
  <c r="N449" i="2"/>
  <c r="N480" i="2"/>
  <c r="N482" i="2"/>
  <c r="N485" i="2"/>
  <c r="N161" i="2"/>
  <c r="N458" i="2"/>
  <c r="N487" i="2"/>
  <c r="N488" i="2"/>
  <c r="N489" i="2"/>
  <c r="N493" i="2"/>
  <c r="N424" i="2"/>
  <c r="N574" i="2"/>
  <c r="N768" i="2"/>
  <c r="N759" i="2"/>
  <c r="N289" i="2"/>
  <c r="N769" i="2"/>
  <c r="N496" i="2"/>
  <c r="N499" i="2"/>
  <c r="N891" i="2"/>
  <c r="N501" i="2"/>
  <c r="N395" i="2"/>
  <c r="N503" i="2"/>
  <c r="N632" i="2"/>
  <c r="N897" i="2"/>
  <c r="N508" i="2"/>
  <c r="N510" i="2"/>
  <c r="N511" i="2"/>
  <c r="N73" i="2"/>
  <c r="N529" i="2"/>
  <c r="N512" i="2"/>
  <c r="N515" i="2"/>
  <c r="N516" i="2"/>
  <c r="N99" i="2"/>
  <c r="N520" i="2"/>
  <c r="N521" i="2"/>
  <c r="N471" i="2"/>
  <c r="N523" i="2"/>
  <c r="N524" i="2"/>
  <c r="N526" i="2"/>
  <c r="N631" i="2"/>
  <c r="N530" i="2"/>
  <c r="N256" i="2"/>
  <c r="N531" i="2"/>
  <c r="N115" i="2"/>
  <c r="N532" i="2"/>
  <c r="N725" i="2"/>
  <c r="N731" i="2"/>
  <c r="N266" i="2"/>
  <c r="N189" i="2"/>
  <c r="N533" i="2"/>
  <c r="N535" i="2"/>
  <c r="N536" i="2"/>
  <c r="N537" i="2"/>
  <c r="N539" i="2"/>
  <c r="N542" i="2"/>
  <c r="N543" i="2"/>
  <c r="N545" i="2"/>
  <c r="N548" i="2"/>
  <c r="N828" i="2"/>
  <c r="N549" i="2"/>
  <c r="N552" i="2"/>
  <c r="N553" i="2"/>
  <c r="N554" i="2"/>
  <c r="N123" i="2"/>
  <c r="N31" i="2"/>
  <c r="N556" i="2"/>
  <c r="N611" i="2"/>
  <c r="N358" i="2"/>
  <c r="N557" i="2"/>
  <c r="N558" i="2"/>
  <c r="N565" i="2"/>
  <c r="N80" i="2"/>
  <c r="N567" i="2"/>
  <c r="N568" i="2"/>
  <c r="N415" i="2"/>
  <c r="N572" i="2"/>
  <c r="N192" i="2"/>
  <c r="N575" i="2"/>
  <c r="N576" i="2"/>
  <c r="N579" i="2"/>
  <c r="N600" i="2"/>
  <c r="N420" i="2"/>
  <c r="N581" i="2"/>
  <c r="N956" i="2"/>
  <c r="N582" i="2"/>
  <c r="N583" i="2"/>
  <c r="N448" i="2"/>
  <c r="N494" i="2"/>
  <c r="N584" i="2"/>
  <c r="N509" i="2"/>
  <c r="N630" i="2"/>
  <c r="N615" i="2"/>
  <c r="N585" i="2"/>
  <c r="N311" i="2"/>
  <c r="N586" i="2"/>
  <c r="N269" i="2"/>
  <c r="N589" i="2"/>
  <c r="N251" i="2"/>
  <c r="N590" i="2"/>
  <c r="N623" i="2"/>
  <c r="N894" i="2"/>
  <c r="N931" i="2"/>
  <c r="N592" i="2"/>
  <c r="N594" i="2"/>
  <c r="N145" i="2"/>
  <c r="N353" i="2"/>
  <c r="N333" i="2"/>
  <c r="N596" i="2"/>
  <c r="N936" i="2"/>
  <c r="N597" i="2"/>
  <c r="N598" i="2"/>
  <c r="N382" i="2"/>
  <c r="N573" i="2"/>
  <c r="N803" i="2"/>
  <c r="N599" i="2"/>
  <c r="N602" i="2"/>
  <c r="N708" i="2"/>
  <c r="N604" i="2"/>
  <c r="N51" i="2"/>
  <c r="N608" i="2"/>
  <c r="N610" i="2"/>
  <c r="N507" i="2"/>
  <c r="N108" i="2"/>
  <c r="N357" i="2"/>
  <c r="N325" i="2"/>
  <c r="N612" i="2"/>
  <c r="N613" i="2"/>
  <c r="N18" i="2"/>
  <c r="N476" i="2"/>
  <c r="N491" i="2"/>
  <c r="N616" i="2"/>
  <c r="N620" i="2"/>
  <c r="N111" i="2"/>
  <c r="N375" i="2"/>
  <c r="N513" i="2"/>
  <c r="N622" i="2"/>
  <c r="N804" i="2"/>
  <c r="N328" i="2"/>
  <c r="N779" i="2"/>
  <c r="N249" i="2"/>
  <c r="N306" i="2"/>
  <c r="N628" i="2"/>
  <c r="N665" i="2"/>
  <c r="N924" i="2"/>
  <c r="N641" i="2"/>
  <c r="N637" i="2"/>
  <c r="N719" i="2"/>
  <c r="N724" i="2"/>
  <c r="N642" i="2"/>
  <c r="N643" i="2"/>
  <c r="N991" i="2"/>
  <c r="N887" i="2"/>
  <c r="N646" i="2"/>
  <c r="N577" i="2"/>
  <c r="N647" i="2"/>
  <c r="N649" i="2"/>
  <c r="N603" i="2"/>
  <c r="N453" i="2"/>
  <c r="N651" i="2"/>
  <c r="N188" i="2"/>
  <c r="N466" i="2"/>
  <c r="N652" i="2"/>
  <c r="N655" i="2"/>
  <c r="N390" i="2"/>
  <c r="N661" i="2"/>
  <c r="N748" i="2"/>
  <c r="N996" i="2"/>
  <c r="N580" i="2"/>
  <c r="N667" i="2"/>
  <c r="N669" i="2"/>
  <c r="N339" i="2"/>
  <c r="N670" i="2"/>
  <c r="N671" i="2"/>
  <c r="N673" i="2"/>
  <c r="N6" i="2"/>
  <c r="N715" i="2"/>
  <c r="N462" i="2"/>
  <c r="N398" i="2"/>
  <c r="N674" i="2"/>
  <c r="N675" i="2"/>
  <c r="N677" i="2"/>
  <c r="N679" i="2"/>
  <c r="N680" i="2"/>
  <c r="N681" i="2"/>
  <c r="N629" i="2"/>
  <c r="N104" i="2"/>
  <c r="N988" i="2"/>
  <c r="N105" i="2"/>
  <c r="N676" i="2"/>
  <c r="N87" i="2"/>
  <c r="N135" i="2"/>
  <c r="N209" i="2"/>
  <c r="N683" i="2"/>
  <c r="N685" i="2"/>
  <c r="N686" i="2"/>
  <c r="N50" i="2"/>
  <c r="N688" i="2"/>
  <c r="N75" i="2"/>
  <c r="N244" i="2"/>
  <c r="N689" i="2"/>
  <c r="N816" i="2"/>
  <c r="N142" i="2"/>
  <c r="N151" i="2"/>
  <c r="N691" i="2"/>
  <c r="N693" i="2"/>
  <c r="N490" i="2"/>
  <c r="N694" i="2"/>
  <c r="N697" i="2"/>
  <c r="N149" i="2"/>
  <c r="N861" i="2"/>
  <c r="N885" i="2"/>
  <c r="N698" i="2"/>
  <c r="N994" i="2"/>
  <c r="N59" i="2"/>
  <c r="N699" i="2"/>
  <c r="N208" i="2"/>
  <c r="N701" i="2"/>
  <c r="N704" i="2"/>
  <c r="N707" i="2"/>
  <c r="N709" i="2"/>
  <c r="N710" i="2"/>
  <c r="N854" i="2"/>
  <c r="N713" i="2"/>
  <c r="N805" i="2"/>
  <c r="N291" i="2"/>
  <c r="N446" i="2"/>
  <c r="N890" i="2"/>
  <c r="N714" i="2"/>
  <c r="N722" i="2"/>
  <c r="N726" i="2"/>
  <c r="N732" i="2"/>
  <c r="N734" i="2"/>
  <c r="N786" i="2"/>
  <c r="N737" i="2"/>
  <c r="N739" i="2"/>
  <c r="N968" i="2"/>
  <c r="N741" i="2"/>
  <c r="N882" i="2"/>
  <c r="N122" i="2"/>
  <c r="N182" i="2"/>
  <c r="N742" i="2"/>
  <c r="N619" i="2"/>
  <c r="N745" i="2"/>
  <c r="N746" i="2"/>
  <c r="N159" i="2"/>
  <c r="N747" i="2"/>
  <c r="N749" i="2"/>
  <c r="N752" i="2"/>
  <c r="N754" i="2"/>
  <c r="N755" i="2"/>
  <c r="N371" i="2"/>
  <c r="N756" i="2"/>
  <c r="N757" i="2"/>
  <c r="N155" i="2"/>
  <c r="N621" i="2"/>
  <c r="N368" i="2"/>
  <c r="N96" i="2"/>
  <c r="N720" i="2"/>
  <c r="N808" i="2"/>
  <c r="N522" i="2"/>
  <c r="N695" i="2"/>
  <c r="N758" i="2"/>
  <c r="N761" i="2"/>
  <c r="N979" i="2"/>
  <c r="N971" i="2"/>
  <c r="N605" i="2"/>
  <c r="N762" i="2"/>
  <c r="N921" i="2"/>
  <c r="N765" i="2"/>
  <c r="N766" i="2"/>
  <c r="N858" i="2"/>
  <c r="N712" i="2"/>
  <c r="N14" i="2"/>
  <c r="N419" i="2"/>
  <c r="N767" i="2"/>
  <c r="N770" i="2"/>
  <c r="N773" i="2"/>
  <c r="N774" i="2"/>
  <c r="N380" i="2"/>
  <c r="N775" i="2"/>
  <c r="N776" i="2"/>
  <c r="N591" i="2"/>
  <c r="N961" i="2"/>
  <c r="N777" i="2"/>
  <c r="N654" i="2"/>
  <c r="N778" i="2"/>
  <c r="N692" i="2"/>
  <c r="N780" i="2"/>
  <c r="N473" i="2"/>
  <c r="N782" i="2"/>
  <c r="N939" i="2"/>
  <c r="N974" i="2"/>
  <c r="N606" i="2"/>
  <c r="N920" i="2"/>
  <c r="N481" i="2"/>
  <c r="N785" i="2"/>
  <c r="N787" i="2"/>
  <c r="N7" i="2"/>
  <c r="N789" i="2"/>
  <c r="N139" i="2"/>
  <c r="N790" i="2"/>
  <c r="N791" i="2"/>
  <c r="N232" i="2"/>
  <c r="N408" i="2"/>
  <c r="N794" i="2"/>
  <c r="N63" i="2"/>
  <c r="N795" i="2"/>
  <c r="N796" i="2"/>
  <c r="N245" i="2"/>
  <c r="N432" i="2"/>
  <c r="N905" i="2"/>
  <c r="N797" i="2"/>
  <c r="N798" i="2"/>
  <c r="N297" i="2"/>
  <c r="N799" i="2"/>
  <c r="N284" i="2"/>
  <c r="N801" i="2"/>
  <c r="N807" i="2"/>
  <c r="N809" i="2"/>
  <c r="N831" i="2"/>
  <c r="N540" i="2"/>
  <c r="N949" i="2"/>
  <c r="N625" i="2"/>
  <c r="N811" i="2"/>
  <c r="N978" i="2"/>
  <c r="N221" i="2"/>
  <c r="N544" i="2"/>
  <c r="N114" i="2"/>
  <c r="N812" i="2"/>
  <c r="N814" i="2"/>
  <c r="N810" i="2"/>
  <c r="N817" i="2"/>
  <c r="N236" i="2"/>
  <c r="N967" i="2"/>
  <c r="N818" i="2"/>
  <c r="N267" i="2"/>
  <c r="N563" i="2"/>
  <c r="N819" i="2"/>
  <c r="N820" i="2"/>
  <c r="N823" i="2"/>
  <c r="N468" i="2"/>
  <c r="N824" i="2"/>
  <c r="N829" i="2"/>
  <c r="N19" i="2"/>
  <c r="N825" i="2"/>
  <c r="N169" i="2"/>
  <c r="N827" i="2"/>
  <c r="N834" i="2"/>
  <c r="N836" i="2"/>
  <c r="N550" i="2"/>
  <c r="N74" i="2"/>
  <c r="N500" i="2"/>
  <c r="N840" i="2"/>
  <c r="N560" i="2"/>
  <c r="N451" i="2"/>
  <c r="N696" i="2"/>
  <c r="N842" i="2"/>
  <c r="N72" i="2"/>
  <c r="N845" i="2"/>
  <c r="N847" i="2"/>
  <c r="N252" i="2"/>
  <c r="N848" i="2"/>
  <c r="N849" i="2"/>
  <c r="N296" i="2"/>
  <c r="N850" i="2"/>
  <c r="N851" i="2"/>
  <c r="N498" i="2"/>
  <c r="N852" i="2"/>
  <c r="N285" i="2"/>
  <c r="N853" i="2"/>
  <c r="N668" i="2"/>
  <c r="N856" i="2"/>
  <c r="N528" i="2"/>
  <c r="N857" i="2"/>
  <c r="N863" i="2"/>
  <c r="N864" i="2"/>
  <c r="N372" i="2"/>
  <c r="N865" i="2"/>
  <c r="N868" i="2"/>
  <c r="N869" i="2"/>
  <c r="N870" i="2"/>
  <c r="N871" i="2"/>
  <c r="N872" i="2"/>
  <c r="N873" i="2"/>
  <c r="N875" i="2"/>
  <c r="N862" i="2"/>
  <c r="N877" i="2"/>
  <c r="N879" i="2"/>
  <c r="N880" i="2"/>
  <c r="N881" i="2"/>
  <c r="N717" i="2"/>
  <c r="N187" i="2"/>
  <c r="N645" i="2"/>
  <c r="N883" i="2"/>
  <c r="N886" i="2"/>
  <c r="N992" i="2"/>
  <c r="N946" i="2"/>
  <c r="N239" i="2"/>
  <c r="N274" i="2"/>
  <c r="N888" i="2"/>
  <c r="N400" i="2"/>
  <c r="N387" i="2"/>
  <c r="N972" i="2"/>
  <c r="N889" i="2"/>
  <c r="N495" i="2"/>
  <c r="N892" i="2"/>
  <c r="N893" i="2"/>
  <c r="N895" i="2"/>
  <c r="N571" i="2"/>
  <c r="N309" i="2"/>
  <c r="N116" i="2"/>
  <c r="N896" i="2"/>
  <c r="N899" i="2"/>
  <c r="N341" i="2"/>
  <c r="N914" i="2"/>
  <c r="N900" i="2"/>
  <c r="N901" i="2"/>
  <c r="N903" i="2"/>
  <c r="N428" i="2"/>
  <c r="N906" i="2"/>
  <c r="N405" i="2"/>
  <c r="N911" i="2"/>
  <c r="N907" i="2"/>
  <c r="N908" i="2"/>
  <c r="N909" i="2"/>
  <c r="N910" i="2"/>
  <c r="N212" i="2"/>
  <c r="N912" i="2"/>
  <c r="N514" i="2"/>
  <c r="N821" i="2"/>
  <c r="N915" i="2"/>
  <c r="N837" i="2"/>
  <c r="N917" i="2"/>
  <c r="N919" i="2"/>
  <c r="N922" i="2"/>
  <c r="N763" i="2"/>
  <c r="N925" i="2"/>
  <c r="N141" i="2"/>
  <c r="N926" i="2"/>
  <c r="N927" i="2"/>
  <c r="N928" i="2"/>
  <c r="N65" i="2"/>
  <c r="N441" i="2"/>
  <c r="N929" i="2"/>
  <c r="N930" i="2"/>
  <c r="N792" i="2"/>
  <c r="N932" i="2"/>
  <c r="N933" i="2"/>
  <c r="N843" i="2"/>
  <c r="N614" i="2"/>
  <c r="N934" i="2"/>
  <c r="N935" i="2"/>
  <c r="N62" i="2"/>
  <c r="N938" i="2"/>
  <c r="N940" i="2"/>
  <c r="N923" i="2"/>
  <c r="N664" i="2"/>
  <c r="N941" i="2"/>
  <c r="N942" i="2"/>
  <c r="N231" i="2"/>
  <c r="N943" i="2"/>
  <c r="N944" i="2"/>
  <c r="N859" i="2"/>
  <c r="N980" i="2"/>
  <c r="N945" i="2"/>
  <c r="N950" i="2"/>
  <c r="N951" i="2"/>
  <c r="N884" i="2"/>
  <c r="N618" i="2"/>
  <c r="N263" i="2"/>
  <c r="N624" i="2"/>
  <c r="N952" i="2"/>
  <c r="N833" i="2"/>
  <c r="N750" i="2"/>
  <c r="N953" i="2"/>
  <c r="N955" i="2"/>
  <c r="N700" i="2"/>
  <c r="N957" i="2"/>
  <c r="N958" i="2"/>
  <c r="N959" i="2"/>
  <c r="N588" i="2"/>
  <c r="N960" i="2"/>
  <c r="N279" i="2"/>
  <c r="N962" i="2"/>
  <c r="N963" i="2"/>
  <c r="N783" i="2"/>
  <c r="N128" i="2"/>
  <c r="N965" i="2"/>
  <c r="N564" i="2"/>
  <c r="N966" i="2"/>
  <c r="N969" i="2"/>
  <c r="N970" i="2"/>
  <c r="N976" i="2"/>
  <c r="N981" i="2"/>
  <c r="N983" i="2"/>
  <c r="N985" i="2"/>
  <c r="N986" i="2"/>
  <c r="N841" i="2"/>
  <c r="N987" i="2"/>
  <c r="N973" i="2"/>
  <c r="N990" i="2"/>
  <c r="N56" i="2"/>
  <c r="N993" i="2"/>
  <c r="N687" i="2"/>
  <c r="N527" i="2"/>
  <c r="N181" i="2"/>
  <c r="N733" i="2"/>
  <c r="N492" i="2"/>
  <c r="N867" i="2"/>
  <c r="N997" i="2"/>
  <c r="N329" i="2"/>
  <c r="N998" i="2"/>
  <c r="N658" i="2"/>
  <c r="N874" i="2"/>
  <c r="N321" i="2"/>
  <c r="N999" i="2"/>
  <c r="N1000" i="2"/>
  <c r="N566" i="2"/>
  <c r="N593" i="2"/>
  <c r="Q3" i="2"/>
  <c r="R3" i="2" s="1"/>
  <c r="Q5" i="2"/>
  <c r="R5" i="2" s="1"/>
  <c r="Q9" i="2"/>
  <c r="R9" i="2" s="1"/>
  <c r="Q822" i="2"/>
  <c r="R822" i="2" s="1"/>
  <c r="Q110" i="2"/>
  <c r="R110" i="2" s="1"/>
  <c r="Q11" i="2"/>
  <c r="R11" i="2" s="1"/>
  <c r="Q439" i="2"/>
  <c r="R439" i="2" s="1"/>
  <c r="Q12" i="2"/>
  <c r="R12" i="2" s="1"/>
  <c r="Q534" i="2"/>
  <c r="Q802" i="2"/>
  <c r="R802" i="2" s="1"/>
  <c r="Q15" i="2"/>
  <c r="R15" i="2" s="1"/>
  <c r="Q16" i="2"/>
  <c r="R16" i="2" s="1"/>
  <c r="Q17" i="2"/>
  <c r="R17" i="2" s="1"/>
  <c r="Q826" i="2"/>
  <c r="R826" i="2" s="1"/>
  <c r="Q21" i="2"/>
  <c r="Q22" i="2"/>
  <c r="R22" i="2" s="1"/>
  <c r="Q261" i="2"/>
  <c r="R261" i="2" s="1"/>
  <c r="Q644" i="2"/>
  <c r="R644" i="2" s="1"/>
  <c r="Q25" i="2"/>
  <c r="R25" i="2" s="1"/>
  <c r="Q113" i="2"/>
  <c r="R113" i="2" s="1"/>
  <c r="Q551" i="2"/>
  <c r="R551" i="2" s="1"/>
  <c r="Q740" i="2"/>
  <c r="R740" i="2" s="1"/>
  <c r="Q718" i="2"/>
  <c r="Q26" i="2"/>
  <c r="R26" i="2" s="1"/>
  <c r="Q28" i="2"/>
  <c r="R28" i="2" s="1"/>
  <c r="Q29" i="2"/>
  <c r="R29" i="2" s="1"/>
  <c r="Q30" i="2"/>
  <c r="R30" i="2" s="1"/>
  <c r="Q730" i="2"/>
  <c r="R730" i="2" s="1"/>
  <c r="Q800" i="2"/>
  <c r="R800" i="2" s="1"/>
  <c r="Q32" i="2"/>
  <c r="R32" i="2" s="1"/>
  <c r="Q505" i="2"/>
  <c r="Q36" i="2"/>
  <c r="R36" i="2" s="1"/>
  <c r="Q282" i="2"/>
  <c r="R282" i="2" s="1"/>
  <c r="Q37" i="2"/>
  <c r="R37" i="2" s="1"/>
  <c r="Q216" i="2"/>
  <c r="R216" i="2" s="1"/>
  <c r="Q38" i="2"/>
  <c r="R38" i="2" s="1"/>
  <c r="Q547" i="2"/>
  <c r="R547" i="2" s="1"/>
  <c r="Q39" i="2"/>
  <c r="R39" i="2" s="1"/>
  <c r="Q43" i="2"/>
  <c r="R43" i="2" s="1"/>
  <c r="Q764" i="2"/>
  <c r="R764" i="2" s="1"/>
  <c r="Q44" i="2"/>
  <c r="R44" i="2" s="1"/>
  <c r="Q45" i="2"/>
  <c r="R45" i="2" s="1"/>
  <c r="Q47" i="2"/>
  <c r="R47" i="2" s="1"/>
  <c r="Q24" i="2"/>
  <c r="R24" i="2" s="1"/>
  <c r="Q48" i="2"/>
  <c r="R48" i="2" s="1"/>
  <c r="Q49" i="2"/>
  <c r="R49" i="2" s="1"/>
  <c r="Q538" i="2"/>
  <c r="R538" i="2" s="1"/>
  <c r="Q52" i="2"/>
  <c r="R52" i="2" s="1"/>
  <c r="Q54" i="2"/>
  <c r="Q662" i="2"/>
  <c r="R662" i="2" s="1"/>
  <c r="Q57" i="2"/>
  <c r="Q460" i="2"/>
  <c r="R460" i="2" s="1"/>
  <c r="Q666" i="2"/>
  <c r="R666" i="2" s="1"/>
  <c r="Q609" i="2"/>
  <c r="R609" i="2" s="1"/>
  <c r="Q60" i="2"/>
  <c r="Q127" i="2"/>
  <c r="R127" i="2" s="1"/>
  <c r="Q61" i="2"/>
  <c r="R61" i="2" s="1"/>
  <c r="Q66" i="2"/>
  <c r="R66" i="2" s="1"/>
  <c r="Q67" i="2"/>
  <c r="R67" i="2" s="1"/>
  <c r="Q8" i="2"/>
  <c r="R8" i="2" s="1"/>
  <c r="Q578" i="2"/>
  <c r="R578" i="2" s="1"/>
  <c r="Q68" i="2"/>
  <c r="R68" i="2" s="1"/>
  <c r="Q947" i="2"/>
  <c r="Q69" i="2"/>
  <c r="R69" i="2" s="1"/>
  <c r="Q721" i="2"/>
  <c r="R721" i="2" s="1"/>
  <c r="Q70" i="2"/>
  <c r="R70" i="2" s="1"/>
  <c r="Q751" i="2"/>
  <c r="R751" i="2" s="1"/>
  <c r="Q716" i="2"/>
  <c r="R716" i="2" s="1"/>
  <c r="Q71" i="2"/>
  <c r="R71" i="2" s="1"/>
  <c r="Q76" i="2"/>
  <c r="R76" i="2" s="1"/>
  <c r="Q4" i="2"/>
  <c r="Q77" i="2"/>
  <c r="R77" i="2" s="1"/>
  <c r="Q78" i="2"/>
  <c r="R78" i="2" s="1"/>
  <c r="Q81" i="2"/>
  <c r="R81" i="2" s="1"/>
  <c r="Q82" i="2"/>
  <c r="R82" i="2" s="1"/>
  <c r="Q977" i="2"/>
  <c r="R977" i="2" s="1"/>
  <c r="Q835" i="2"/>
  <c r="R835" i="2" s="1"/>
  <c r="Q806" i="2"/>
  <c r="R806" i="2" s="1"/>
  <c r="Q640" i="2"/>
  <c r="Q350" i="2"/>
  <c r="R350" i="2" s="1"/>
  <c r="Q83" i="2"/>
  <c r="R83" i="2" s="1"/>
  <c r="Q781" i="2"/>
  <c r="R781" i="2" s="1"/>
  <c r="Q84" i="2"/>
  <c r="R84" i="2" s="1"/>
  <c r="Q743" i="2"/>
  <c r="R743" i="2" s="1"/>
  <c r="Q85" i="2"/>
  <c r="R85" i="2" s="1"/>
  <c r="Q378" i="2"/>
  <c r="R378" i="2" s="1"/>
  <c r="Q454" i="2"/>
  <c r="Q813" i="2"/>
  <c r="R813" i="2" s="1"/>
  <c r="Q86" i="2"/>
  <c r="R86" i="2" s="1"/>
  <c r="Q89" i="2"/>
  <c r="R89" i="2" s="1"/>
  <c r="Q830" i="2"/>
  <c r="Q90" i="2"/>
  <c r="R90" i="2" s="1"/>
  <c r="Q91" i="2"/>
  <c r="R91" i="2" s="1"/>
  <c r="Q92" i="2"/>
  <c r="R92" i="2" s="1"/>
  <c r="Q483" i="2"/>
  <c r="R483" i="2" s="1"/>
  <c r="Q97" i="2"/>
  <c r="R97" i="2" s="1"/>
  <c r="Q100" i="2"/>
  <c r="R100" i="2" s="1"/>
  <c r="Q648" i="2"/>
  <c r="R648" i="2" s="1"/>
  <c r="Q334" i="2"/>
  <c r="R334" i="2" s="1"/>
  <c r="Q101" i="2"/>
  <c r="R101" i="2" s="1"/>
  <c r="Q167" i="2"/>
  <c r="R167" i="2" s="1"/>
  <c r="Q860" i="2"/>
  <c r="R860" i="2" s="1"/>
  <c r="Q102" i="2"/>
  <c r="Q103" i="2"/>
  <c r="R103" i="2" s="1"/>
  <c r="Q106" i="2"/>
  <c r="R106" i="2" s="1"/>
  <c r="Q107" i="2"/>
  <c r="Q984" i="2"/>
  <c r="R984" i="2" s="1"/>
  <c r="Q397" i="2"/>
  <c r="R397" i="2" s="1"/>
  <c r="Q109" i="2"/>
  <c r="R109" i="2" s="1"/>
  <c r="Q117" i="2"/>
  <c r="R117" i="2" s="1"/>
  <c r="Q119" i="2"/>
  <c r="Q120" i="2"/>
  <c r="R120" i="2" s="1"/>
  <c r="Q125" i="2"/>
  <c r="R125" i="2" s="1"/>
  <c r="Q788" i="2"/>
  <c r="R788" i="2" s="1"/>
  <c r="Q126" i="2"/>
  <c r="Q346" i="2"/>
  <c r="R346" i="2" s="1"/>
  <c r="Q402" i="2"/>
  <c r="R402" i="2" s="1"/>
  <c r="Q53" i="2"/>
  <c r="R53" i="2" s="1"/>
  <c r="Q595" i="2"/>
  <c r="Q318" i="2"/>
  <c r="R318" i="2" s="1"/>
  <c r="Q784" i="2"/>
  <c r="R784" i="2" s="1"/>
  <c r="Q129" i="2"/>
  <c r="R129" i="2" s="1"/>
  <c r="Q660" i="2"/>
  <c r="R660" i="2" s="1"/>
  <c r="Q294" i="2"/>
  <c r="R294" i="2" s="1"/>
  <c r="Q130" i="2"/>
  <c r="R130" i="2" s="1"/>
  <c r="Q250" i="2"/>
  <c r="R250" i="2" s="1"/>
  <c r="Q132" i="2"/>
  <c r="R132" i="2" s="1"/>
  <c r="Q418" i="2"/>
  <c r="R418" i="2" s="1"/>
  <c r="Q134" i="2"/>
  <c r="R134" i="2" s="1"/>
  <c r="Q815" i="2"/>
  <c r="R815" i="2" s="1"/>
  <c r="Q136" i="2"/>
  <c r="R136" i="2" s="1"/>
  <c r="Q137" i="2"/>
  <c r="R137" i="2" s="1"/>
  <c r="Q138" i="2"/>
  <c r="R138" i="2" s="1"/>
  <c r="Q140" i="2"/>
  <c r="R140" i="2" s="1"/>
  <c r="Q376" i="2"/>
  <c r="R376" i="2" s="1"/>
  <c r="Q143" i="2"/>
  <c r="R143" i="2" s="1"/>
  <c r="Q144" i="2"/>
  <c r="R144" i="2" s="1"/>
  <c r="Q464" i="2"/>
  <c r="R464" i="2" s="1"/>
  <c r="Q146" i="2"/>
  <c r="Q147" i="2"/>
  <c r="R147" i="2" s="1"/>
  <c r="Q148" i="2"/>
  <c r="R148" i="2" s="1"/>
  <c r="Q150" i="2"/>
  <c r="R150" i="2" s="1"/>
  <c r="Q152" i="2"/>
  <c r="Q153" i="2"/>
  <c r="R153" i="2" s="1"/>
  <c r="Q477" i="2"/>
  <c r="R477" i="2" s="1"/>
  <c r="Q634" i="2"/>
  <c r="R634" i="2" s="1"/>
  <c r="Q154" i="2"/>
  <c r="R154" i="2" s="1"/>
  <c r="Q178" i="2"/>
  <c r="R178" i="2" s="1"/>
  <c r="Q156" i="2"/>
  <c r="R156" i="2" s="1"/>
  <c r="Q158" i="2"/>
  <c r="R158" i="2" s="1"/>
  <c r="Q504" i="2"/>
  <c r="Q164" i="2"/>
  <c r="R164" i="2" s="1"/>
  <c r="Q729" i="2"/>
  <c r="R729" i="2" s="1"/>
  <c r="Q247" i="2"/>
  <c r="R247" i="2" s="1"/>
  <c r="Q165" i="2"/>
  <c r="R165" i="2" s="1"/>
  <c r="Q166" i="2"/>
  <c r="R166" i="2" s="1"/>
  <c r="Q20" i="2"/>
  <c r="R20" i="2" s="1"/>
  <c r="Q168" i="2"/>
  <c r="R168" i="2" s="1"/>
  <c r="Q157" i="2"/>
  <c r="Q170" i="2"/>
  <c r="R170" i="2" s="1"/>
  <c r="Q171" i="2"/>
  <c r="R171" i="2" s="1"/>
  <c r="Q982" i="2"/>
  <c r="R982" i="2" s="1"/>
  <c r="Q913" i="2"/>
  <c r="R913" i="2" s="1"/>
  <c r="Q172" i="2"/>
  <c r="R172" i="2" s="1"/>
  <c r="Q173" i="2"/>
  <c r="R173" i="2" s="1"/>
  <c r="Q176" i="2"/>
  <c r="R176" i="2" s="1"/>
  <c r="Q738" i="2"/>
  <c r="Q344" i="2"/>
  <c r="R344" i="2" s="1"/>
  <c r="Q995" i="2"/>
  <c r="Q177" i="2"/>
  <c r="R177" i="2" s="1"/>
  <c r="Q179" i="2"/>
  <c r="R179" i="2" s="1"/>
  <c r="Q633" i="2"/>
  <c r="R633" i="2" s="1"/>
  <c r="Q180" i="2"/>
  <c r="R180" i="2" s="1"/>
  <c r="Q183" i="2"/>
  <c r="R183" i="2" s="1"/>
  <c r="Q185" i="2"/>
  <c r="Q902" i="2"/>
  <c r="R902" i="2" s="1"/>
  <c r="Q186" i="2"/>
  <c r="R186" i="2" s="1"/>
  <c r="Q41" i="2"/>
  <c r="R41" i="2" s="1"/>
  <c r="Q706" i="2"/>
  <c r="R706" i="2" s="1"/>
  <c r="Q587" i="2"/>
  <c r="R587" i="2" s="1"/>
  <c r="Q193" i="2"/>
  <c r="R193" i="2" s="1"/>
  <c r="Q194" i="2"/>
  <c r="R194" i="2" s="1"/>
  <c r="Q678" i="2"/>
  <c r="Q292" i="2"/>
  <c r="R292" i="2" s="1"/>
  <c r="Q401" i="2"/>
  <c r="R401" i="2" s="1"/>
  <c r="Q195" i="2"/>
  <c r="R195" i="2" s="1"/>
  <c r="Q196" i="2"/>
  <c r="Q163" i="2"/>
  <c r="R163" i="2" s="1"/>
  <c r="Q200" i="2"/>
  <c r="R200" i="2" s="1"/>
  <c r="Q204" i="2"/>
  <c r="R204" i="2" s="1"/>
  <c r="Q203" i="2"/>
  <c r="R203" i="2" s="1"/>
  <c r="Q206" i="2"/>
  <c r="R206" i="2" s="1"/>
  <c r="Q546" i="2"/>
  <c r="R546" i="2" s="1"/>
  <c r="Q753" i="2"/>
  <c r="R753" i="2" s="1"/>
  <c r="Q207" i="2"/>
  <c r="R207" i="2" s="1"/>
  <c r="Q133" i="2"/>
  <c r="R133" i="2" s="1"/>
  <c r="Q365" i="2"/>
  <c r="R365" i="2" s="1"/>
  <c r="Q93" i="2"/>
  <c r="R93" i="2" s="1"/>
  <c r="Q210" i="2"/>
  <c r="Q878" i="2"/>
  <c r="R878" i="2" s="1"/>
  <c r="Q124" i="2"/>
  <c r="Q211" i="2"/>
  <c r="R211" i="2" s="1"/>
  <c r="Q846" i="2"/>
  <c r="R846" i="2" s="1"/>
  <c r="Q281" i="2"/>
  <c r="R281" i="2" s="1"/>
  <c r="Q213" i="2"/>
  <c r="R213" i="2" s="1"/>
  <c r="Q214" i="2"/>
  <c r="R214" i="2" s="1"/>
  <c r="Q46" i="2"/>
  <c r="Q215" i="2"/>
  <c r="R215" i="2" s="1"/>
  <c r="Q218" i="2"/>
  <c r="R218" i="2" s="1"/>
  <c r="Q702" i="2"/>
  <c r="R702" i="2" s="1"/>
  <c r="Q219" i="2"/>
  <c r="Q246" i="2"/>
  <c r="R246" i="2" s="1"/>
  <c r="Q33" i="2"/>
  <c r="R33" i="2" s="1"/>
  <c r="Q220" i="2"/>
  <c r="R220" i="2" s="1"/>
  <c r="Q440" i="2"/>
  <c r="Q112" i="2"/>
  <c r="R112" i="2" s="1"/>
  <c r="Q222" i="2"/>
  <c r="R222" i="2" s="1"/>
  <c r="Q518" i="2"/>
  <c r="R518" i="2" s="1"/>
  <c r="Q224" i="2"/>
  <c r="R224" i="2" s="1"/>
  <c r="Q226" i="2"/>
  <c r="R226" i="2" s="1"/>
  <c r="Q227" i="2"/>
  <c r="R227" i="2" s="1"/>
  <c r="Q626" i="2"/>
  <c r="R626" i="2" s="1"/>
  <c r="Q866" i="2"/>
  <c r="R866" i="2" s="1"/>
  <c r="Q229" i="2"/>
  <c r="R229" i="2" s="1"/>
  <c r="Q230" i="2"/>
  <c r="R230" i="2" s="1"/>
  <c r="Q205" i="2"/>
  <c r="R205" i="2" s="1"/>
  <c r="Q233" i="2"/>
  <c r="R233" i="2" s="1"/>
  <c r="Q234" i="2"/>
  <c r="R234" i="2" s="1"/>
  <c r="Q23" i="2"/>
  <c r="R23" i="2" s="1"/>
  <c r="Q237" i="2"/>
  <c r="R237" i="2" s="1"/>
  <c r="Q656" i="2"/>
  <c r="Q235" i="2"/>
  <c r="R235" i="2" s="1"/>
  <c r="Q383" i="2"/>
  <c r="Q202" i="2"/>
  <c r="R202" i="2" s="1"/>
  <c r="Q238" i="2"/>
  <c r="R238" i="2" s="1"/>
  <c r="Q240" i="2"/>
  <c r="R240" i="2" s="1"/>
  <c r="Q198" i="2"/>
  <c r="R198" i="2" s="1"/>
  <c r="Q904" i="2"/>
  <c r="R904" i="2" s="1"/>
  <c r="Q241" i="2"/>
  <c r="Q242" i="2"/>
  <c r="R242" i="2" s="1"/>
  <c r="Q248" i="2"/>
  <c r="R248" i="2" s="1"/>
  <c r="Q690" i="2"/>
  <c r="R690" i="2" s="1"/>
  <c r="Q948" i="2"/>
  <c r="R948" i="2" s="1"/>
  <c r="Q253" i="2"/>
  <c r="R253" i="2" s="1"/>
  <c r="Q254" i="2"/>
  <c r="R254" i="2" s="1"/>
  <c r="Q257" i="2"/>
  <c r="R257" i="2" s="1"/>
  <c r="Q838" i="2"/>
  <c r="Q258" i="2"/>
  <c r="R258" i="2" s="1"/>
  <c r="Q259" i="2"/>
  <c r="R259" i="2" s="1"/>
  <c r="Q262" i="2"/>
  <c r="R262" i="2" s="1"/>
  <c r="Q79" i="2"/>
  <c r="R79" i="2" s="1"/>
  <c r="Q264" i="2"/>
  <c r="R264" i="2" s="1"/>
  <c r="Q265" i="2"/>
  <c r="R265" i="2" s="1"/>
  <c r="Q653" i="2"/>
  <c r="R653" i="2" s="1"/>
  <c r="Q299" i="2"/>
  <c r="R299" i="2" s="1"/>
  <c r="Q268" i="2"/>
  <c r="R268" i="2" s="1"/>
  <c r="Q34" i="2"/>
  <c r="R34" i="2" s="1"/>
  <c r="Q272" i="2"/>
  <c r="R272" i="2" s="1"/>
  <c r="Q273" i="2"/>
  <c r="R273" i="2" s="1"/>
  <c r="Q275" i="2"/>
  <c r="R275" i="2" s="1"/>
  <c r="Q276" i="2"/>
  <c r="R276" i="2" s="1"/>
  <c r="Q335" i="2"/>
  <c r="R335" i="2" s="1"/>
  <c r="Q277" i="2"/>
  <c r="Q278" i="2"/>
  <c r="R278" i="2" s="1"/>
  <c r="Q162" i="2"/>
  <c r="R162" i="2" s="1"/>
  <c r="Q131" i="2"/>
  <c r="R131" i="2" s="1"/>
  <c r="Q280" i="2"/>
  <c r="R280" i="2" s="1"/>
  <c r="Q954" i="2"/>
  <c r="R954" i="2" s="1"/>
  <c r="Q95" i="2"/>
  <c r="R95" i="2" s="1"/>
  <c r="Q283" i="2"/>
  <c r="R283" i="2" s="1"/>
  <c r="Q374" i="2"/>
  <c r="Q286" i="2"/>
  <c r="R286" i="2" s="1"/>
  <c r="Q287" i="2"/>
  <c r="R287" i="2" s="1"/>
  <c r="Q288" i="2"/>
  <c r="R288" i="2" s="1"/>
  <c r="Q377" i="2"/>
  <c r="R377" i="2" s="1"/>
  <c r="Q255" i="2"/>
  <c r="R255" i="2" s="1"/>
  <c r="Q290" i="2"/>
  <c r="R290" i="2" s="1"/>
  <c r="Q295" i="2"/>
  <c r="R295" i="2" s="1"/>
  <c r="Q298" i="2"/>
  <c r="Q301" i="2"/>
  <c r="R301" i="2" s="1"/>
  <c r="Q303" i="2"/>
  <c r="R303" i="2" s="1"/>
  <c r="Q562" i="2"/>
  <c r="R562" i="2" s="1"/>
  <c r="Q304" i="2"/>
  <c r="R304" i="2" s="1"/>
  <c r="Q305" i="2"/>
  <c r="R305" i="2" s="1"/>
  <c r="Q307" i="2"/>
  <c r="R307" i="2" s="1"/>
  <c r="Q308" i="2"/>
  <c r="R308" i="2" s="1"/>
  <c r="Q323" i="2"/>
  <c r="R323" i="2" s="1"/>
  <c r="Q727" i="2"/>
  <c r="R727" i="2" s="1"/>
  <c r="Q310" i="2"/>
  <c r="R310" i="2" s="1"/>
  <c r="Q312" i="2"/>
  <c r="R312" i="2" s="1"/>
  <c r="Q502" i="2"/>
  <c r="R502" i="2" s="1"/>
  <c r="Q314" i="2"/>
  <c r="R314" i="2" s="1"/>
  <c r="Q315" i="2"/>
  <c r="R315" i="2" s="1"/>
  <c r="Q42" i="2"/>
  <c r="R42" i="2" s="1"/>
  <c r="Q1001" i="2"/>
  <c r="Q316" i="2"/>
  <c r="R316" i="2" s="1"/>
  <c r="Q317" i="2"/>
  <c r="R317" i="2" s="1"/>
  <c r="Q319" i="2"/>
  <c r="R319" i="2" s="1"/>
  <c r="Q320" i="2"/>
  <c r="R320" i="2" s="1"/>
  <c r="Q322" i="2"/>
  <c r="R322" i="2" s="1"/>
  <c r="Q324" i="2"/>
  <c r="R324" i="2" s="1"/>
  <c r="Q326" i="2"/>
  <c r="R326" i="2" s="1"/>
  <c r="Q327" i="2"/>
  <c r="Q855" i="2"/>
  <c r="R855" i="2" s="1"/>
  <c r="Q330" i="2"/>
  <c r="Q98" i="2"/>
  <c r="R98" i="2" s="1"/>
  <c r="Q332" i="2"/>
  <c r="R332" i="2" s="1"/>
  <c r="Q336" i="2"/>
  <c r="R336" i="2" s="1"/>
  <c r="Q964" i="2"/>
  <c r="R964" i="2" s="1"/>
  <c r="Q337" i="2"/>
  <c r="R337" i="2" s="1"/>
  <c r="Q486" i="2"/>
  <c r="Q338" i="2"/>
  <c r="R338" i="2" s="1"/>
  <c r="Q342" i="2"/>
  <c r="R342" i="2" s="1"/>
  <c r="Q343" i="2"/>
  <c r="R343" i="2" s="1"/>
  <c r="Q711" i="2"/>
  <c r="R711" i="2" s="1"/>
  <c r="Q345" i="2"/>
  <c r="R345" i="2" s="1"/>
  <c r="Q456" i="2"/>
  <c r="R456" i="2" s="1"/>
  <c r="Q635" i="2"/>
  <c r="R635" i="2" s="1"/>
  <c r="Q760" i="2"/>
  <c r="R760" i="2" s="1"/>
  <c r="Q650" i="2"/>
  <c r="R650" i="2" s="1"/>
  <c r="Q347" i="2"/>
  <c r="R347" i="2" s="1"/>
  <c r="Q348" i="2"/>
  <c r="R348" i="2" s="1"/>
  <c r="Q484" i="2"/>
  <c r="R484" i="2" s="1"/>
  <c r="Q349" i="2"/>
  <c r="R349" i="2" s="1"/>
  <c r="Q627" i="2"/>
  <c r="R627" i="2" s="1"/>
  <c r="Q422" i="2"/>
  <c r="R422" i="2" s="1"/>
  <c r="Q352" i="2"/>
  <c r="R352" i="2" s="1"/>
  <c r="Q898" i="2"/>
  <c r="R898" i="2" s="1"/>
  <c r="Q354" i="2"/>
  <c r="R354" i="2" s="1"/>
  <c r="Q184" i="2"/>
  <c r="R184" i="2" s="1"/>
  <c r="Q355" i="2"/>
  <c r="R355" i="2" s="1"/>
  <c r="Q201" i="2"/>
  <c r="R201" i="2" s="1"/>
  <c r="Q356" i="2"/>
  <c r="R356" i="2" s="1"/>
  <c r="Q876" i="2"/>
  <c r="R876" i="2" s="1"/>
  <c r="Q359" i="2"/>
  <c r="R359" i="2" s="1"/>
  <c r="Q360" i="2"/>
  <c r="R360" i="2" s="1"/>
  <c r="Q340" i="2"/>
  <c r="R340" i="2" s="1"/>
  <c r="Q271" i="2"/>
  <c r="R271" i="2" s="1"/>
  <c r="Q361" i="2"/>
  <c r="R361" i="2" s="1"/>
  <c r="Q362" i="2"/>
  <c r="R362" i="2" s="1"/>
  <c r="Q363" i="2"/>
  <c r="R363" i="2" s="1"/>
  <c r="Q223" i="2"/>
  <c r="R223" i="2" s="1"/>
  <c r="Q364" i="2"/>
  <c r="Q367" i="2"/>
  <c r="R367" i="2" s="1"/>
  <c r="Q369" i="2"/>
  <c r="R369" i="2" s="1"/>
  <c r="Q370" i="2"/>
  <c r="R370" i="2" s="1"/>
  <c r="Q771" i="2"/>
  <c r="R771" i="2" s="1"/>
  <c r="Q659" i="2"/>
  <c r="R659" i="2" s="1"/>
  <c r="Q64" i="2"/>
  <c r="R64" i="2" s="1"/>
  <c r="Q672" i="2"/>
  <c r="R672" i="2" s="1"/>
  <c r="Q351" i="2"/>
  <c r="Q55" i="2"/>
  <c r="R55" i="2" s="1"/>
  <c r="Q243" i="2"/>
  <c r="R243" i="2" s="1"/>
  <c r="Q13" i="2"/>
  <c r="R13" i="2" s="1"/>
  <c r="Q703" i="2"/>
  <c r="R703" i="2" s="1"/>
  <c r="Q989" i="2"/>
  <c r="R989" i="2" s="1"/>
  <c r="Q728" i="2"/>
  <c r="R728" i="2" s="1"/>
  <c r="Q373" i="2"/>
  <c r="R373" i="2" s="1"/>
  <c r="Q772" i="2"/>
  <c r="Q381" i="2"/>
  <c r="R381" i="2" s="1"/>
  <c r="Q384" i="2"/>
  <c r="R384" i="2" s="1"/>
  <c r="Q385" i="2"/>
  <c r="R385" i="2" s="1"/>
  <c r="Q386" i="2"/>
  <c r="R386" i="2" s="1"/>
  <c r="Q88" i="2"/>
  <c r="R88" i="2" s="1"/>
  <c r="Q40" i="2"/>
  <c r="R40" i="2" s="1"/>
  <c r="Q636" i="2"/>
  <c r="R636" i="2" s="1"/>
  <c r="Q228" i="2"/>
  <c r="Q302" i="2"/>
  <c r="R302" i="2" s="1"/>
  <c r="Q663" i="2"/>
  <c r="R663" i="2" s="1"/>
  <c r="Q506" i="2"/>
  <c r="R506" i="2" s="1"/>
  <c r="Q447" i="2"/>
  <c r="R447" i="2" s="1"/>
  <c r="Q388" i="2"/>
  <c r="R388" i="2" s="1"/>
  <c r="Q399" i="2"/>
  <c r="R399" i="2" s="1"/>
  <c r="Q607" i="2"/>
  <c r="R607" i="2" s="1"/>
  <c r="Q389" i="2"/>
  <c r="Q392" i="2"/>
  <c r="R392" i="2" s="1"/>
  <c r="Q657" i="2"/>
  <c r="R657" i="2" s="1"/>
  <c r="Q393" i="2"/>
  <c r="R393" i="2" s="1"/>
  <c r="Q555" i="2"/>
  <c r="R555" i="2" s="1"/>
  <c r="Q331" i="2"/>
  <c r="R331" i="2" s="1"/>
  <c r="Q394" i="2"/>
  <c r="R394" i="2" s="1"/>
  <c r="Q638" i="2"/>
  <c r="R638" i="2" s="1"/>
  <c r="Q723" i="2"/>
  <c r="R723" i="2" s="1"/>
  <c r="Q469" i="2"/>
  <c r="R469" i="2" s="1"/>
  <c r="Q570" i="2"/>
  <c r="R570" i="2" s="1"/>
  <c r="Q396" i="2"/>
  <c r="R396" i="2" s="1"/>
  <c r="Q705" i="2"/>
  <c r="R705" i="2" s="1"/>
  <c r="Q937" i="2"/>
  <c r="R937" i="2" s="1"/>
  <c r="Q404" i="2"/>
  <c r="R404" i="2" s="1"/>
  <c r="Q190" i="2"/>
  <c r="R190" i="2" s="1"/>
  <c r="Q121" i="2"/>
  <c r="Q684" i="2"/>
  <c r="R684" i="2" s="1"/>
  <c r="Q407" i="2"/>
  <c r="R407" i="2" s="1"/>
  <c r="Q682" i="2"/>
  <c r="R682" i="2" s="1"/>
  <c r="Q409" i="2"/>
  <c r="R409" i="2" s="1"/>
  <c r="Q410" i="2"/>
  <c r="R410" i="2" s="1"/>
  <c r="Q411" i="2"/>
  <c r="R411" i="2" s="1"/>
  <c r="Q601" i="2"/>
  <c r="R601" i="2" s="1"/>
  <c r="Q736" i="2"/>
  <c r="R736" i="2" s="1"/>
  <c r="Q412" i="2"/>
  <c r="R412" i="2" s="1"/>
  <c r="Q118" i="2"/>
  <c r="R118" i="2" s="1"/>
  <c r="Q406" i="2"/>
  <c r="R406" i="2" s="1"/>
  <c r="Q413" i="2"/>
  <c r="R413" i="2" s="1"/>
  <c r="Q414" i="2"/>
  <c r="R414" i="2" s="1"/>
  <c r="Q517" i="2"/>
  <c r="R517" i="2" s="1"/>
  <c r="Q475" i="2"/>
  <c r="R475" i="2" s="1"/>
  <c r="Q379" i="2"/>
  <c r="Q416" i="2"/>
  <c r="R416" i="2" s="1"/>
  <c r="Q617" i="2"/>
  <c r="R617" i="2" s="1"/>
  <c r="Q417" i="2"/>
  <c r="R417" i="2" s="1"/>
  <c r="Q260" i="2"/>
  <c r="Q844" i="2"/>
  <c r="R844" i="2" s="1"/>
  <c r="Q421" i="2"/>
  <c r="R421" i="2" s="1"/>
  <c r="Q423" i="2"/>
  <c r="R423" i="2" s="1"/>
  <c r="Q425" i="2"/>
  <c r="R425" i="2" s="1"/>
  <c r="Q160" i="2"/>
  <c r="R160" i="2" s="1"/>
  <c r="Q175" i="2"/>
  <c r="R175" i="2" s="1"/>
  <c r="Q10" i="2"/>
  <c r="R10" i="2" s="1"/>
  <c r="Q426" i="2"/>
  <c r="R426" i="2" s="1"/>
  <c r="Q217" i="2"/>
  <c r="R217" i="2" s="1"/>
  <c r="Q35" i="2"/>
  <c r="R35" i="2" s="1"/>
  <c r="Q561" i="2"/>
  <c r="R561" i="2" s="1"/>
  <c r="Q427" i="2"/>
  <c r="Q639" i="2"/>
  <c r="R639" i="2" s="1"/>
  <c r="Q429" i="2"/>
  <c r="R429" i="2" s="1"/>
  <c r="Q430" i="2"/>
  <c r="R430" i="2" s="1"/>
  <c r="Q270" i="2"/>
  <c r="R270" i="2" s="1"/>
  <c r="Q559" i="2"/>
  <c r="R559" i="2" s="1"/>
  <c r="Q744" i="2"/>
  <c r="R744" i="2" s="1"/>
  <c r="Q431" i="2"/>
  <c r="R431" i="2" s="1"/>
  <c r="Q433" i="2"/>
  <c r="R433" i="2" s="1"/>
  <c r="Q174" i="2"/>
  <c r="R174" i="2" s="1"/>
  <c r="Q434" i="2"/>
  <c r="R434" i="2" s="1"/>
  <c r="Q435" i="2"/>
  <c r="R435" i="2" s="1"/>
  <c r="Q541" i="2"/>
  <c r="R541" i="2" s="1"/>
  <c r="Q436" i="2"/>
  <c r="R436" i="2" s="1"/>
  <c r="Q497" i="2"/>
  <c r="R497" i="2" s="1"/>
  <c r="Q300" i="2"/>
  <c r="R300" i="2" s="1"/>
  <c r="Q437" i="2"/>
  <c r="Q199" i="2"/>
  <c r="R199" i="2" s="1"/>
  <c r="Q438" i="2"/>
  <c r="R438" i="2" s="1"/>
  <c r="Q366" i="2"/>
  <c r="R366" i="2" s="1"/>
  <c r="Q916" i="2"/>
  <c r="R916" i="2" s="1"/>
  <c r="Q839" i="2"/>
  <c r="R839" i="2" s="1"/>
  <c r="Q313" i="2"/>
  <c r="R313" i="2" s="1"/>
  <c r="Q918" i="2"/>
  <c r="R918" i="2" s="1"/>
  <c r="Q58" i="2"/>
  <c r="Q735" i="2"/>
  <c r="R735" i="2" s="1"/>
  <c r="Q442" i="2"/>
  <c r="R442" i="2" s="1"/>
  <c r="Q293" i="2"/>
  <c r="R293" i="2" s="1"/>
  <c r="Q443" i="2"/>
  <c r="R443" i="2" s="1"/>
  <c r="Q444" i="2"/>
  <c r="R444" i="2" s="1"/>
  <c r="Q403" i="2"/>
  <c r="R403" i="2" s="1"/>
  <c r="Q445" i="2"/>
  <c r="R445" i="2" s="1"/>
  <c r="Q525" i="2"/>
  <c r="R525" i="2" s="1"/>
  <c r="Q191" i="2"/>
  <c r="R191" i="2" s="1"/>
  <c r="Q569" i="2"/>
  <c r="R569" i="2" s="1"/>
  <c r="Q225" i="2"/>
  <c r="R225" i="2" s="1"/>
  <c r="Q450" i="2"/>
  <c r="R450" i="2" s="1"/>
  <c r="Q452" i="2"/>
  <c r="R452" i="2" s="1"/>
  <c r="Q94" i="2"/>
  <c r="R94" i="2" s="1"/>
  <c r="Q455" i="2"/>
  <c r="R455" i="2" s="1"/>
  <c r="Q975" i="2"/>
  <c r="R975" i="2" s="1"/>
  <c r="Q832" i="2"/>
  <c r="R832" i="2" s="1"/>
  <c r="Q457" i="2"/>
  <c r="Q459" i="2"/>
  <c r="R459" i="2" s="1"/>
  <c r="Q197" i="2"/>
  <c r="R197" i="2" s="1"/>
  <c r="Q27" i="2"/>
  <c r="R27" i="2" s="1"/>
  <c r="Q461" i="2"/>
  <c r="R461" i="2" s="1"/>
  <c r="Q391" i="2"/>
  <c r="R391" i="2" s="1"/>
  <c r="Q793" i="2"/>
  <c r="R793" i="2" s="1"/>
  <c r="Q463" i="2"/>
  <c r="R463" i="2" s="1"/>
  <c r="Q465" i="2"/>
  <c r="R465" i="2" s="1"/>
  <c r="Q467" i="2"/>
  <c r="R467" i="2" s="1"/>
  <c r="Q519" i="2"/>
  <c r="R519" i="2" s="1"/>
  <c r="Q470" i="2"/>
  <c r="R470" i="2" s="1"/>
  <c r="Q474" i="2"/>
  <c r="R474" i="2" s="1"/>
  <c r="Q472" i="2"/>
  <c r="R472" i="2" s="1"/>
  <c r="Q478" i="2"/>
  <c r="Q479" i="2"/>
  <c r="R479" i="2" s="1"/>
  <c r="Q449" i="2"/>
  <c r="R449" i="2" s="1"/>
  <c r="Q480" i="2"/>
  <c r="R480" i="2" s="1"/>
  <c r="Q482" i="2"/>
  <c r="Q485" i="2"/>
  <c r="R485" i="2" s="1"/>
  <c r="Q161" i="2"/>
  <c r="R161" i="2" s="1"/>
  <c r="Q458" i="2"/>
  <c r="R458" i="2" s="1"/>
  <c r="Q487" i="2"/>
  <c r="Q488" i="2"/>
  <c r="R488" i="2" s="1"/>
  <c r="Q489" i="2"/>
  <c r="R489" i="2" s="1"/>
  <c r="Q493" i="2"/>
  <c r="R493" i="2" s="1"/>
  <c r="Q424" i="2"/>
  <c r="R424" i="2" s="1"/>
  <c r="Q574" i="2"/>
  <c r="R574" i="2" s="1"/>
  <c r="Q768" i="2"/>
  <c r="R768" i="2" s="1"/>
  <c r="Q759" i="2"/>
  <c r="R759" i="2" s="1"/>
  <c r="Q289" i="2"/>
  <c r="R289" i="2" s="1"/>
  <c r="Q769" i="2"/>
  <c r="R769" i="2" s="1"/>
  <c r="Q496" i="2"/>
  <c r="R496" i="2" s="1"/>
  <c r="Q499" i="2"/>
  <c r="R499" i="2" s="1"/>
  <c r="Q891" i="2"/>
  <c r="R891" i="2" s="1"/>
  <c r="Q501" i="2"/>
  <c r="R501" i="2" s="1"/>
  <c r="Q395" i="2"/>
  <c r="R395" i="2" s="1"/>
  <c r="Q503" i="2"/>
  <c r="R503" i="2" s="1"/>
  <c r="Q632" i="2"/>
  <c r="Q897" i="2"/>
  <c r="Q508" i="2"/>
  <c r="R508" i="2" s="1"/>
  <c r="Q510" i="2"/>
  <c r="R510" i="2" s="1"/>
  <c r="Q511" i="2"/>
  <c r="R511" i="2" s="1"/>
  <c r="Q73" i="2"/>
  <c r="R73" i="2" s="1"/>
  <c r="Q529" i="2"/>
  <c r="R529" i="2" s="1"/>
  <c r="Q512" i="2"/>
  <c r="R512" i="2" s="1"/>
  <c r="Q515" i="2"/>
  <c r="R515" i="2" s="1"/>
  <c r="Q516" i="2"/>
  <c r="R516" i="2" s="1"/>
  <c r="Q99" i="2"/>
  <c r="R99" i="2" s="1"/>
  <c r="Q520" i="2"/>
  <c r="R520" i="2" s="1"/>
  <c r="Q521" i="2"/>
  <c r="R521" i="2" s="1"/>
  <c r="Q471" i="2"/>
  <c r="R471" i="2" s="1"/>
  <c r="Q523" i="2"/>
  <c r="R523" i="2" s="1"/>
  <c r="Q524" i="2"/>
  <c r="R524" i="2" s="1"/>
  <c r="Q526" i="2"/>
  <c r="Q631" i="2"/>
  <c r="R631" i="2" s="1"/>
  <c r="Q530" i="2"/>
  <c r="R530" i="2" s="1"/>
  <c r="Q256" i="2"/>
  <c r="R256" i="2" s="1"/>
  <c r="Q531" i="2"/>
  <c r="R531" i="2" s="1"/>
  <c r="Q115" i="2"/>
  <c r="R115" i="2" s="1"/>
  <c r="Q532" i="2"/>
  <c r="R532" i="2" s="1"/>
  <c r="Q725" i="2"/>
  <c r="R725" i="2" s="1"/>
  <c r="Q731" i="2"/>
  <c r="R731" i="2" s="1"/>
  <c r="Q266" i="2"/>
  <c r="R266" i="2" s="1"/>
  <c r="Q189" i="2"/>
  <c r="R189" i="2" s="1"/>
  <c r="Q533" i="2"/>
  <c r="Q535" i="2"/>
  <c r="R535" i="2" s="1"/>
  <c r="Q536" i="2"/>
  <c r="R536" i="2" s="1"/>
  <c r="Q537" i="2"/>
  <c r="R537" i="2" s="1"/>
  <c r="Q539" i="2"/>
  <c r="R539" i="2" s="1"/>
  <c r="Q542" i="2"/>
  <c r="Q543" i="2"/>
  <c r="R543" i="2" s="1"/>
  <c r="Q545" i="2"/>
  <c r="R545" i="2" s="1"/>
  <c r="Q548" i="2"/>
  <c r="R548" i="2" s="1"/>
  <c r="Q828" i="2"/>
  <c r="R828" i="2" s="1"/>
  <c r="Q549" i="2"/>
  <c r="R549" i="2" s="1"/>
  <c r="Q552" i="2"/>
  <c r="R552" i="2" s="1"/>
  <c r="Q553" i="2"/>
  <c r="R553" i="2" s="1"/>
  <c r="Q554" i="2"/>
  <c r="Q123" i="2"/>
  <c r="R123" i="2" s="1"/>
  <c r="Q31" i="2"/>
  <c r="R31" i="2" s="1"/>
  <c r="Q556" i="2"/>
  <c r="R556" i="2" s="1"/>
  <c r="Q611" i="2"/>
  <c r="R611" i="2" s="1"/>
  <c r="Q358" i="2"/>
  <c r="R358" i="2" s="1"/>
  <c r="Q557" i="2"/>
  <c r="R557" i="2" s="1"/>
  <c r="Q558" i="2"/>
  <c r="R558" i="2" s="1"/>
  <c r="Q565" i="2"/>
  <c r="R565" i="2" s="1"/>
  <c r="Q80" i="2"/>
  <c r="R80" i="2" s="1"/>
  <c r="Q567" i="2"/>
  <c r="R567" i="2" s="1"/>
  <c r="Q568" i="2"/>
  <c r="R568" i="2" s="1"/>
  <c r="Q415" i="2"/>
  <c r="R415" i="2" s="1"/>
  <c r="Q572" i="2"/>
  <c r="R572" i="2" s="1"/>
  <c r="Q192" i="2"/>
  <c r="R192" i="2" s="1"/>
  <c r="Q575" i="2"/>
  <c r="R575" i="2" s="1"/>
  <c r="Q576" i="2"/>
  <c r="R576" i="2" s="1"/>
  <c r="Q579" i="2"/>
  <c r="R579" i="2" s="1"/>
  <c r="Q600" i="2"/>
  <c r="R600" i="2" s="1"/>
  <c r="Q420" i="2"/>
  <c r="R420" i="2" s="1"/>
  <c r="Q581" i="2"/>
  <c r="R581" i="2" s="1"/>
  <c r="Q956" i="2"/>
  <c r="R956" i="2" s="1"/>
  <c r="Q582" i="2"/>
  <c r="R582" i="2" s="1"/>
  <c r="Q583" i="2"/>
  <c r="R583" i="2" s="1"/>
  <c r="Q448" i="2"/>
  <c r="R448" i="2" s="1"/>
  <c r="Q494" i="2"/>
  <c r="R494" i="2" s="1"/>
  <c r="Q584" i="2"/>
  <c r="R584" i="2" s="1"/>
  <c r="Q509" i="2"/>
  <c r="R509" i="2" s="1"/>
  <c r="Q630" i="2"/>
  <c r="R630" i="2" s="1"/>
  <c r="Q615" i="2"/>
  <c r="R615" i="2" s="1"/>
  <c r="Q585" i="2"/>
  <c r="R585" i="2" s="1"/>
  <c r="Q311" i="2"/>
  <c r="R311" i="2" s="1"/>
  <c r="Q586" i="2"/>
  <c r="Q269" i="2"/>
  <c r="R269" i="2" s="1"/>
  <c r="Q589" i="2"/>
  <c r="Q251" i="2"/>
  <c r="R251" i="2" s="1"/>
  <c r="Q590" i="2"/>
  <c r="R590" i="2" s="1"/>
  <c r="Q623" i="2"/>
  <c r="R623" i="2" s="1"/>
  <c r="Q894" i="2"/>
  <c r="R894" i="2" s="1"/>
  <c r="Q931" i="2"/>
  <c r="R931" i="2" s="1"/>
  <c r="Q592" i="2"/>
  <c r="Q594" i="2"/>
  <c r="R594" i="2" s="1"/>
  <c r="Q145" i="2"/>
  <c r="R145" i="2" s="1"/>
  <c r="Q353" i="2"/>
  <c r="R353" i="2" s="1"/>
  <c r="Q333" i="2"/>
  <c r="R333" i="2" s="1"/>
  <c r="Q596" i="2"/>
  <c r="R596" i="2" s="1"/>
  <c r="Q936" i="2"/>
  <c r="R936" i="2" s="1"/>
  <c r="Q597" i="2"/>
  <c r="R597" i="2" s="1"/>
  <c r="Q598" i="2"/>
  <c r="R598" i="2" s="1"/>
  <c r="Q382" i="2"/>
  <c r="R382" i="2" s="1"/>
  <c r="Q573" i="2"/>
  <c r="R573" i="2" s="1"/>
  <c r="Q803" i="2"/>
  <c r="R803" i="2" s="1"/>
  <c r="Q599" i="2"/>
  <c r="Q602" i="2"/>
  <c r="R602" i="2" s="1"/>
  <c r="Q708" i="2"/>
  <c r="R708" i="2" s="1"/>
  <c r="Q604" i="2"/>
  <c r="R604" i="2" s="1"/>
  <c r="Q51" i="2"/>
  <c r="R51" i="2" s="1"/>
  <c r="Q608" i="2"/>
  <c r="R608" i="2" s="1"/>
  <c r="Q610" i="2"/>
  <c r="R610" i="2" s="1"/>
  <c r="Q507" i="2"/>
  <c r="R507" i="2" s="1"/>
  <c r="Q108" i="2"/>
  <c r="R108" i="2" s="1"/>
  <c r="Q357" i="2"/>
  <c r="R357" i="2" s="1"/>
  <c r="Q325" i="2"/>
  <c r="R325" i="2" s="1"/>
  <c r="Q612" i="2"/>
  <c r="R612" i="2" s="1"/>
  <c r="Q613" i="2"/>
  <c r="Q18" i="2"/>
  <c r="R18" i="2" s="1"/>
  <c r="Q476" i="2"/>
  <c r="R476" i="2" s="1"/>
  <c r="Q491" i="2"/>
  <c r="R491" i="2" s="1"/>
  <c r="Q616" i="2"/>
  <c r="R616" i="2" s="1"/>
  <c r="Q620" i="2"/>
  <c r="R620" i="2" s="1"/>
  <c r="Q111" i="2"/>
  <c r="R111" i="2" s="1"/>
  <c r="Q375" i="2"/>
  <c r="R375" i="2" s="1"/>
  <c r="Q513" i="2"/>
  <c r="Q622" i="2"/>
  <c r="R622" i="2" s="1"/>
  <c r="Q804" i="2"/>
  <c r="R804" i="2" s="1"/>
  <c r="Q328" i="2"/>
  <c r="R328" i="2" s="1"/>
  <c r="Q779" i="2"/>
  <c r="R779" i="2" s="1"/>
  <c r="Q249" i="2"/>
  <c r="R249" i="2" s="1"/>
  <c r="Q306" i="2"/>
  <c r="R306" i="2" s="1"/>
  <c r="Q628" i="2"/>
  <c r="R628" i="2" s="1"/>
  <c r="Q665" i="2"/>
  <c r="R665" i="2" s="1"/>
  <c r="Q924" i="2"/>
  <c r="R924" i="2" s="1"/>
  <c r="Q641" i="2"/>
  <c r="R641" i="2" s="1"/>
  <c r="Q637" i="2"/>
  <c r="R637" i="2" s="1"/>
  <c r="Q719" i="2"/>
  <c r="R719" i="2" s="1"/>
  <c r="Q724" i="2"/>
  <c r="R724" i="2" s="1"/>
  <c r="Q642" i="2"/>
  <c r="R642" i="2" s="1"/>
  <c r="Q643" i="2"/>
  <c r="R643" i="2" s="1"/>
  <c r="Q991" i="2"/>
  <c r="R991" i="2" s="1"/>
  <c r="Q887" i="2"/>
  <c r="R887" i="2" s="1"/>
  <c r="Q646" i="2"/>
  <c r="R646" i="2" s="1"/>
  <c r="Q577" i="2"/>
  <c r="R577" i="2" s="1"/>
  <c r="Q647" i="2"/>
  <c r="R647" i="2" s="1"/>
  <c r="Q649" i="2"/>
  <c r="R649" i="2" s="1"/>
  <c r="Q603" i="2"/>
  <c r="R603" i="2" s="1"/>
  <c r="Q453" i="2"/>
  <c r="R453" i="2" s="1"/>
  <c r="Q651" i="2"/>
  <c r="R651" i="2" s="1"/>
  <c r="Q188" i="2"/>
  <c r="R188" i="2" s="1"/>
  <c r="Q466" i="2"/>
  <c r="R466" i="2" s="1"/>
  <c r="Q652" i="2"/>
  <c r="R652" i="2" s="1"/>
  <c r="Q655" i="2"/>
  <c r="R655" i="2" s="1"/>
  <c r="Q390" i="2"/>
  <c r="R390" i="2" s="1"/>
  <c r="Q661" i="2"/>
  <c r="R661" i="2" s="1"/>
  <c r="Q748" i="2"/>
  <c r="R748" i="2" s="1"/>
  <c r="Q996" i="2"/>
  <c r="Q580" i="2"/>
  <c r="R580" i="2" s="1"/>
  <c r="Q667" i="2"/>
  <c r="R667" i="2" s="1"/>
  <c r="Q669" i="2"/>
  <c r="R669" i="2" s="1"/>
  <c r="Q339" i="2"/>
  <c r="R339" i="2" s="1"/>
  <c r="Q670" i="2"/>
  <c r="R670" i="2" s="1"/>
  <c r="Q671" i="2"/>
  <c r="R671" i="2" s="1"/>
  <c r="Q673" i="2"/>
  <c r="R673" i="2" s="1"/>
  <c r="Q6" i="2"/>
  <c r="Q715" i="2"/>
  <c r="R715" i="2" s="1"/>
  <c r="Q462" i="2"/>
  <c r="Q398" i="2"/>
  <c r="R398" i="2" s="1"/>
  <c r="Q674" i="2"/>
  <c r="R674" i="2" s="1"/>
  <c r="Q675" i="2"/>
  <c r="R675" i="2" s="1"/>
  <c r="Q677" i="2"/>
  <c r="R677" i="2" s="1"/>
  <c r="Q679" i="2"/>
  <c r="R679" i="2" s="1"/>
  <c r="Q680" i="2"/>
  <c r="Q681" i="2"/>
  <c r="R681" i="2" s="1"/>
  <c r="Q629" i="2"/>
  <c r="R629" i="2" s="1"/>
  <c r="Q104" i="2"/>
  <c r="R104" i="2" s="1"/>
  <c r="Q988" i="2"/>
  <c r="R988" i="2" s="1"/>
  <c r="Q105" i="2"/>
  <c r="R105" i="2" s="1"/>
  <c r="Q676" i="2"/>
  <c r="R676" i="2" s="1"/>
  <c r="Q87" i="2"/>
  <c r="R87" i="2" s="1"/>
  <c r="Q135" i="2"/>
  <c r="R135" i="2" s="1"/>
  <c r="Q209" i="2"/>
  <c r="R209" i="2" s="1"/>
  <c r="Q683" i="2"/>
  <c r="R683" i="2" s="1"/>
  <c r="Q685" i="2"/>
  <c r="R685" i="2" s="1"/>
  <c r="Q686" i="2"/>
  <c r="R686" i="2" s="1"/>
  <c r="Q50" i="2"/>
  <c r="R50" i="2" s="1"/>
  <c r="Q688" i="2"/>
  <c r="Q75" i="2"/>
  <c r="R75" i="2" s="1"/>
  <c r="Q244" i="2"/>
  <c r="Q689" i="2"/>
  <c r="R689" i="2" s="1"/>
  <c r="Q816" i="2"/>
  <c r="R816" i="2" s="1"/>
  <c r="Q142" i="2"/>
  <c r="R142" i="2" s="1"/>
  <c r="Q151" i="2"/>
  <c r="R151" i="2" s="1"/>
  <c r="Q691" i="2"/>
  <c r="R691" i="2" s="1"/>
  <c r="Q693" i="2"/>
  <c r="R693" i="2" s="1"/>
  <c r="Q490" i="2"/>
  <c r="R490" i="2" s="1"/>
  <c r="Q694" i="2"/>
  <c r="R694" i="2" s="1"/>
  <c r="Q697" i="2"/>
  <c r="R697" i="2" s="1"/>
  <c r="Q149" i="2"/>
  <c r="R149" i="2" s="1"/>
  <c r="Q861" i="2"/>
  <c r="R861" i="2" s="1"/>
  <c r="Q885" i="2"/>
  <c r="R885" i="2" s="1"/>
  <c r="Q698" i="2"/>
  <c r="R698" i="2" s="1"/>
  <c r="Q994" i="2"/>
  <c r="R994" i="2" s="1"/>
  <c r="Q59" i="2"/>
  <c r="R59" i="2" s="1"/>
  <c r="Q699" i="2"/>
  <c r="Q208" i="2"/>
  <c r="R208" i="2" s="1"/>
  <c r="Q701" i="2"/>
  <c r="R701" i="2" s="1"/>
  <c r="Q704" i="2"/>
  <c r="R704" i="2" s="1"/>
  <c r="Q707" i="2"/>
  <c r="R707" i="2" s="1"/>
  <c r="Q709" i="2"/>
  <c r="R709" i="2" s="1"/>
  <c r="Q710" i="2"/>
  <c r="R710" i="2" s="1"/>
  <c r="Q854" i="2"/>
  <c r="R854" i="2" s="1"/>
  <c r="Q713" i="2"/>
  <c r="R713" i="2" s="1"/>
  <c r="Q805" i="2"/>
  <c r="R805" i="2" s="1"/>
  <c r="Q291" i="2"/>
  <c r="R291" i="2" s="1"/>
  <c r="Q446" i="2"/>
  <c r="R446" i="2" s="1"/>
  <c r="Q890" i="2"/>
  <c r="R890" i="2" s="1"/>
  <c r="Q714" i="2"/>
  <c r="R714" i="2" s="1"/>
  <c r="Q722" i="2"/>
  <c r="R722" i="2" s="1"/>
  <c r="Q726" i="2"/>
  <c r="R726" i="2" s="1"/>
  <c r="Q732" i="2"/>
  <c r="Q734" i="2"/>
  <c r="R734" i="2" s="1"/>
  <c r="Q786" i="2"/>
  <c r="R786" i="2" s="1"/>
  <c r="Q737" i="2"/>
  <c r="R737" i="2" s="1"/>
  <c r="Q739" i="2"/>
  <c r="R739" i="2" s="1"/>
  <c r="Q968" i="2"/>
  <c r="R968" i="2" s="1"/>
  <c r="Q741" i="2"/>
  <c r="R741" i="2" s="1"/>
  <c r="Q882" i="2"/>
  <c r="R882" i="2" s="1"/>
  <c r="Q122" i="2"/>
  <c r="Q182" i="2"/>
  <c r="R182" i="2" s="1"/>
  <c r="Q742" i="2"/>
  <c r="R742" i="2" s="1"/>
  <c r="Q619" i="2"/>
  <c r="R619" i="2" s="1"/>
  <c r="Q745" i="2"/>
  <c r="R745" i="2" s="1"/>
  <c r="Q746" i="2"/>
  <c r="R746" i="2" s="1"/>
  <c r="Q159" i="2"/>
  <c r="R159" i="2" s="1"/>
  <c r="Q747" i="2"/>
  <c r="R747" i="2" s="1"/>
  <c r="Q749" i="2"/>
  <c r="Q752" i="2"/>
  <c r="R752" i="2" s="1"/>
  <c r="Q754" i="2"/>
  <c r="Q755" i="2"/>
  <c r="R755" i="2" s="1"/>
  <c r="Q371" i="2"/>
  <c r="R371" i="2" s="1"/>
  <c r="Q756" i="2"/>
  <c r="R756" i="2" s="1"/>
  <c r="Q757" i="2"/>
  <c r="R757" i="2" s="1"/>
  <c r="Q155" i="2"/>
  <c r="R155" i="2" s="1"/>
  <c r="Q621" i="2"/>
  <c r="R621" i="2" s="1"/>
  <c r="Q368" i="2"/>
  <c r="R368" i="2" s="1"/>
  <c r="Q96" i="2"/>
  <c r="R96" i="2" s="1"/>
  <c r="Q720" i="2"/>
  <c r="R720" i="2" s="1"/>
  <c r="Q808" i="2"/>
  <c r="R808" i="2" s="1"/>
  <c r="Q522" i="2"/>
  <c r="R522" i="2" s="1"/>
  <c r="Q695" i="2"/>
  <c r="R695" i="2" s="1"/>
  <c r="Q758" i="2"/>
  <c r="R758" i="2" s="1"/>
  <c r="Q761" i="2"/>
  <c r="R761" i="2" s="1"/>
  <c r="Q979" i="2"/>
  <c r="R979" i="2" s="1"/>
  <c r="Q971" i="2"/>
  <c r="R971" i="2" s="1"/>
  <c r="Q605" i="2"/>
  <c r="R605" i="2" s="1"/>
  <c r="Q762" i="2"/>
  <c r="R762" i="2" s="1"/>
  <c r="Q921" i="2"/>
  <c r="R921" i="2" s="1"/>
  <c r="Q765" i="2"/>
  <c r="R765" i="2" s="1"/>
  <c r="Q766" i="2"/>
  <c r="R766" i="2" s="1"/>
  <c r="Q858" i="2"/>
  <c r="Q712" i="2"/>
  <c r="R712" i="2" s="1"/>
  <c r="Q14" i="2"/>
  <c r="R14" i="2" s="1"/>
  <c r="Q419" i="2"/>
  <c r="R419" i="2" s="1"/>
  <c r="Q767" i="2"/>
  <c r="R767" i="2" s="1"/>
  <c r="Q770" i="2"/>
  <c r="R770" i="2" s="1"/>
  <c r="Q773" i="2"/>
  <c r="R773" i="2" s="1"/>
  <c r="Q774" i="2"/>
  <c r="R774" i="2" s="1"/>
  <c r="Q380" i="2"/>
  <c r="R380" i="2" s="1"/>
  <c r="Q775" i="2"/>
  <c r="R775" i="2" s="1"/>
  <c r="Q776" i="2"/>
  <c r="R776" i="2" s="1"/>
  <c r="Q591" i="2"/>
  <c r="R591" i="2" s="1"/>
  <c r="Q961" i="2"/>
  <c r="R961" i="2" s="1"/>
  <c r="Q777" i="2"/>
  <c r="R777" i="2" s="1"/>
  <c r="Q654" i="2"/>
  <c r="R654" i="2" s="1"/>
  <c r="Q778" i="2"/>
  <c r="R778" i="2" s="1"/>
  <c r="Q692" i="2"/>
  <c r="Q780" i="2"/>
  <c r="R780" i="2" s="1"/>
  <c r="Q473" i="2"/>
  <c r="R473" i="2" s="1"/>
  <c r="Q782" i="2"/>
  <c r="R782" i="2" s="1"/>
  <c r="Q939" i="2"/>
  <c r="R939" i="2" s="1"/>
  <c r="Q974" i="2"/>
  <c r="R974" i="2" s="1"/>
  <c r="Q606" i="2"/>
  <c r="R606" i="2" s="1"/>
  <c r="Q920" i="2"/>
  <c r="R920" i="2" s="1"/>
  <c r="Q481" i="2"/>
  <c r="R481" i="2" s="1"/>
  <c r="Q785" i="2"/>
  <c r="R785" i="2" s="1"/>
  <c r="Q787" i="2"/>
  <c r="Q7" i="2"/>
  <c r="R7" i="2" s="1"/>
  <c r="Q789" i="2"/>
  <c r="R789" i="2" s="1"/>
  <c r="Q139" i="2"/>
  <c r="R139" i="2" s="1"/>
  <c r="Q790" i="2"/>
  <c r="R790" i="2" s="1"/>
  <c r="Q791" i="2"/>
  <c r="R791" i="2" s="1"/>
  <c r="Q232" i="2"/>
  <c r="R232" i="2" s="1"/>
  <c r="Q408" i="2"/>
  <c r="R408" i="2" s="1"/>
  <c r="Q794" i="2"/>
  <c r="R794" i="2" s="1"/>
  <c r="Q63" i="2"/>
  <c r="R63" i="2" s="1"/>
  <c r="Q795" i="2"/>
  <c r="R795" i="2" s="1"/>
  <c r="Q796" i="2"/>
  <c r="R796" i="2" s="1"/>
  <c r="Q245" i="2"/>
  <c r="R245" i="2" s="1"/>
  <c r="Q432" i="2"/>
  <c r="R432" i="2" s="1"/>
  <c r="Q905" i="2"/>
  <c r="Q797" i="2"/>
  <c r="R797" i="2" s="1"/>
  <c r="Q798" i="2"/>
  <c r="R798" i="2" s="1"/>
  <c r="Q297" i="2"/>
  <c r="R297" i="2" s="1"/>
  <c r="Q799" i="2"/>
  <c r="R799" i="2" s="1"/>
  <c r="Q284" i="2"/>
  <c r="R284" i="2" s="1"/>
  <c r="Q801" i="2"/>
  <c r="R801" i="2" s="1"/>
  <c r="Q807" i="2"/>
  <c r="R807" i="2" s="1"/>
  <c r="Q809" i="2"/>
  <c r="R809" i="2" s="1"/>
  <c r="Q831" i="2"/>
  <c r="R831" i="2" s="1"/>
  <c r="Q540" i="2"/>
  <c r="R540" i="2" s="1"/>
  <c r="Q949" i="2"/>
  <c r="R949" i="2" s="1"/>
  <c r="Q625" i="2"/>
  <c r="R625" i="2" s="1"/>
  <c r="Q811" i="2"/>
  <c r="R811" i="2" s="1"/>
  <c r="Q978" i="2"/>
  <c r="R978" i="2" s="1"/>
  <c r="Q221" i="2"/>
  <c r="R221" i="2" s="1"/>
  <c r="Q544" i="2"/>
  <c r="Q114" i="2"/>
  <c r="R114" i="2" s="1"/>
  <c r="Q812" i="2"/>
  <c r="R812" i="2" s="1"/>
  <c r="Q814" i="2"/>
  <c r="R814" i="2" s="1"/>
  <c r="Q810" i="2"/>
  <c r="R810" i="2" s="1"/>
  <c r="Q817" i="2"/>
  <c r="R817" i="2" s="1"/>
  <c r="Q236" i="2"/>
  <c r="R236" i="2" s="1"/>
  <c r="Q967" i="2"/>
  <c r="R967" i="2" s="1"/>
  <c r="Q818" i="2"/>
  <c r="R818" i="2" s="1"/>
  <c r="Q267" i="2"/>
  <c r="R267" i="2" s="1"/>
  <c r="Q563" i="2"/>
  <c r="R563" i="2" s="1"/>
  <c r="Q819" i="2"/>
  <c r="R819" i="2" s="1"/>
  <c r="Q820" i="2"/>
  <c r="R820" i="2" s="1"/>
  <c r="Q823" i="2"/>
  <c r="R823" i="2" s="1"/>
  <c r="Q468" i="2"/>
  <c r="R468" i="2" s="1"/>
  <c r="Q824" i="2"/>
  <c r="R824" i="2" s="1"/>
  <c r="Q829" i="2"/>
  <c r="Q19" i="2"/>
  <c r="R19" i="2" s="1"/>
  <c r="Q825" i="2"/>
  <c r="R825" i="2" s="1"/>
  <c r="Q169" i="2"/>
  <c r="R169" i="2" s="1"/>
  <c r="Q827" i="2"/>
  <c r="R827" i="2" s="1"/>
  <c r="Q834" i="2"/>
  <c r="R834" i="2" s="1"/>
  <c r="Q836" i="2"/>
  <c r="R836" i="2" s="1"/>
  <c r="Q550" i="2"/>
  <c r="R550" i="2" s="1"/>
  <c r="Q74" i="2"/>
  <c r="Q500" i="2"/>
  <c r="R500" i="2" s="1"/>
  <c r="Q840" i="2"/>
  <c r="R840" i="2" s="1"/>
  <c r="Q560" i="2"/>
  <c r="R560" i="2" s="1"/>
  <c r="Q451" i="2"/>
  <c r="R451" i="2" s="1"/>
  <c r="Q696" i="2"/>
  <c r="R696" i="2" s="1"/>
  <c r="Q842" i="2"/>
  <c r="R842" i="2" s="1"/>
  <c r="Q72" i="2"/>
  <c r="R72" i="2" s="1"/>
  <c r="Q845" i="2"/>
  <c r="Q847" i="2"/>
  <c r="R847" i="2" s="1"/>
  <c r="Q252" i="2"/>
  <c r="R252" i="2" s="1"/>
  <c r="Q848" i="2"/>
  <c r="R848" i="2" s="1"/>
  <c r="Q849" i="2"/>
  <c r="R849" i="2" s="1"/>
  <c r="Q296" i="2"/>
  <c r="R296" i="2" s="1"/>
  <c r="Q850" i="2"/>
  <c r="R850" i="2" s="1"/>
  <c r="Q851" i="2"/>
  <c r="R851" i="2" s="1"/>
  <c r="Q498" i="2"/>
  <c r="R498" i="2" s="1"/>
  <c r="Q852" i="2"/>
  <c r="R852" i="2" s="1"/>
  <c r="Q285" i="2"/>
  <c r="R285" i="2" s="1"/>
  <c r="Q853" i="2"/>
  <c r="R853" i="2" s="1"/>
  <c r="Q668" i="2"/>
  <c r="R668" i="2" s="1"/>
  <c r="Q856" i="2"/>
  <c r="R856" i="2" s="1"/>
  <c r="Q528" i="2"/>
  <c r="R528" i="2" s="1"/>
  <c r="Q857" i="2"/>
  <c r="R857" i="2" s="1"/>
  <c r="Q863" i="2"/>
  <c r="Q864" i="2"/>
  <c r="R864" i="2" s="1"/>
  <c r="Q372" i="2"/>
  <c r="Q865" i="2"/>
  <c r="R865" i="2" s="1"/>
  <c r="Q868" i="2"/>
  <c r="R868" i="2" s="1"/>
  <c r="Q869" i="2"/>
  <c r="R869" i="2" s="1"/>
  <c r="Q870" i="2"/>
  <c r="R870" i="2" s="1"/>
  <c r="Q871" i="2"/>
  <c r="R871" i="2" s="1"/>
  <c r="Q872" i="2"/>
  <c r="R872" i="2" s="1"/>
  <c r="Q873" i="2"/>
  <c r="R873" i="2" s="1"/>
  <c r="Q875" i="2"/>
  <c r="R875" i="2" s="1"/>
  <c r="Q862" i="2"/>
  <c r="R862" i="2" s="1"/>
  <c r="Q877" i="2"/>
  <c r="R877" i="2" s="1"/>
  <c r="Q879" i="2"/>
  <c r="R879" i="2" s="1"/>
  <c r="Q880" i="2"/>
  <c r="R880" i="2" s="1"/>
  <c r="Q881" i="2"/>
  <c r="R881" i="2" s="1"/>
  <c r="Q717" i="2"/>
  <c r="Q187" i="2"/>
  <c r="R187" i="2" s="1"/>
  <c r="Q645" i="2"/>
  <c r="R645" i="2" s="1"/>
  <c r="Q883" i="2"/>
  <c r="R883" i="2" s="1"/>
  <c r="Q886" i="2"/>
  <c r="R886" i="2" s="1"/>
  <c r="Q992" i="2"/>
  <c r="R992" i="2" s="1"/>
  <c r="Q946" i="2"/>
  <c r="R946" i="2" s="1"/>
  <c r="Q239" i="2"/>
  <c r="R239" i="2" s="1"/>
  <c r="Q274" i="2"/>
  <c r="Q888" i="2"/>
  <c r="R888" i="2" s="1"/>
  <c r="Q400" i="2"/>
  <c r="R400" i="2" s="1"/>
  <c r="Q387" i="2"/>
  <c r="R387" i="2" s="1"/>
  <c r="Q972" i="2"/>
  <c r="R972" i="2" s="1"/>
  <c r="Q889" i="2"/>
  <c r="R889" i="2" s="1"/>
  <c r="Q495" i="2"/>
  <c r="R495" i="2" s="1"/>
  <c r="Q892" i="2"/>
  <c r="R892" i="2" s="1"/>
  <c r="Q893" i="2"/>
  <c r="R893" i="2" s="1"/>
  <c r="Q895" i="2"/>
  <c r="R895" i="2" s="1"/>
  <c r="Q571" i="2"/>
  <c r="R571" i="2" s="1"/>
  <c r="Q309" i="2"/>
  <c r="R309" i="2" s="1"/>
  <c r="Q116" i="2"/>
  <c r="R116" i="2" s="1"/>
  <c r="Q896" i="2"/>
  <c r="R896" i="2" s="1"/>
  <c r="Q899" i="2"/>
  <c r="R899" i="2" s="1"/>
  <c r="Q341" i="2"/>
  <c r="R341" i="2" s="1"/>
  <c r="Q914" i="2"/>
  <c r="Q900" i="2"/>
  <c r="R900" i="2" s="1"/>
  <c r="Q901" i="2"/>
  <c r="Q903" i="2"/>
  <c r="R903" i="2" s="1"/>
  <c r="Q428" i="2"/>
  <c r="R428" i="2" s="1"/>
  <c r="Q906" i="2"/>
  <c r="R906" i="2" s="1"/>
  <c r="Q405" i="2"/>
  <c r="R405" i="2" s="1"/>
  <c r="Q911" i="2"/>
  <c r="R911" i="2" s="1"/>
  <c r="Q907" i="2"/>
  <c r="Q908" i="2"/>
  <c r="R908" i="2" s="1"/>
  <c r="Q909" i="2"/>
  <c r="R909" i="2" s="1"/>
  <c r="Q910" i="2"/>
  <c r="R910" i="2" s="1"/>
  <c r="Q212" i="2"/>
  <c r="R212" i="2" s="1"/>
  <c r="Q912" i="2"/>
  <c r="R912" i="2" s="1"/>
  <c r="Q514" i="2"/>
  <c r="R514" i="2" s="1"/>
  <c r="Q821" i="2"/>
  <c r="R821" i="2" s="1"/>
  <c r="Q915" i="2"/>
  <c r="Q837" i="2"/>
  <c r="R837" i="2" s="1"/>
  <c r="Q917" i="2"/>
  <c r="R917" i="2" s="1"/>
  <c r="Q919" i="2"/>
  <c r="R919" i="2" s="1"/>
  <c r="Q922" i="2"/>
  <c r="R922" i="2" s="1"/>
  <c r="Q763" i="2"/>
  <c r="R763" i="2" s="1"/>
  <c r="Q925" i="2"/>
  <c r="R925" i="2" s="1"/>
  <c r="Q141" i="2"/>
  <c r="R141" i="2" s="1"/>
  <c r="Q926" i="2"/>
  <c r="R926" i="2" s="1"/>
  <c r="Q927" i="2"/>
  <c r="R927" i="2" s="1"/>
  <c r="Q928" i="2"/>
  <c r="R928" i="2" s="1"/>
  <c r="Q65" i="2"/>
  <c r="R65" i="2" s="1"/>
  <c r="Q441" i="2"/>
  <c r="R441" i="2" s="1"/>
  <c r="Q929" i="2"/>
  <c r="R929" i="2" s="1"/>
  <c r="Q930" i="2"/>
  <c r="R930" i="2" s="1"/>
  <c r="Q792" i="2"/>
  <c r="R792" i="2" s="1"/>
  <c r="Q932" i="2"/>
  <c r="Q933" i="2"/>
  <c r="R933" i="2" s="1"/>
  <c r="Q843" i="2"/>
  <c r="R843" i="2" s="1"/>
  <c r="Q614" i="2"/>
  <c r="R614" i="2" s="1"/>
  <c r="Q934" i="2"/>
  <c r="R934" i="2" s="1"/>
  <c r="Q935" i="2"/>
  <c r="R935" i="2" s="1"/>
  <c r="Q62" i="2"/>
  <c r="R62" i="2" s="1"/>
  <c r="Q938" i="2"/>
  <c r="R938" i="2" s="1"/>
  <c r="Q940" i="2"/>
  <c r="Q923" i="2"/>
  <c r="R923" i="2" s="1"/>
  <c r="Q664" i="2"/>
  <c r="R664" i="2" s="1"/>
  <c r="Q941" i="2"/>
  <c r="R941" i="2" s="1"/>
  <c r="Q942" i="2"/>
  <c r="R942" i="2" s="1"/>
  <c r="Q231" i="2"/>
  <c r="R231" i="2" s="1"/>
  <c r="Q943" i="2"/>
  <c r="R943" i="2" s="1"/>
  <c r="Q944" i="2"/>
  <c r="R944" i="2" s="1"/>
  <c r="Q859" i="2"/>
  <c r="Q980" i="2"/>
  <c r="R980" i="2" s="1"/>
  <c r="Q945" i="2"/>
  <c r="R945" i="2" s="1"/>
  <c r="Q950" i="2"/>
  <c r="R950" i="2" s="1"/>
  <c r="Q951" i="2"/>
  <c r="R951" i="2" s="1"/>
  <c r="Q884" i="2"/>
  <c r="R884" i="2" s="1"/>
  <c r="Q618" i="2"/>
  <c r="R618" i="2" s="1"/>
  <c r="Q263" i="2"/>
  <c r="R263" i="2" s="1"/>
  <c r="Q624" i="2"/>
  <c r="R624" i="2" s="1"/>
  <c r="Q952" i="2"/>
  <c r="R952" i="2" s="1"/>
  <c r="Q833" i="2"/>
  <c r="R833" i="2" s="1"/>
  <c r="Q750" i="2"/>
  <c r="R750" i="2" s="1"/>
  <c r="Q953" i="2"/>
  <c r="R953" i="2" s="1"/>
  <c r="Q955" i="2"/>
  <c r="R955" i="2" s="1"/>
  <c r="Q700" i="2"/>
  <c r="R700" i="2" s="1"/>
  <c r="Q957" i="2"/>
  <c r="R957" i="2" s="1"/>
  <c r="Q958" i="2"/>
  <c r="R958" i="2" s="1"/>
  <c r="Q959" i="2"/>
  <c r="R959" i="2" s="1"/>
  <c r="Q588" i="2"/>
  <c r="R588" i="2" s="1"/>
  <c r="Q960" i="2"/>
  <c r="R960" i="2" s="1"/>
  <c r="Q279" i="2"/>
  <c r="R279" i="2" s="1"/>
  <c r="Q962" i="2"/>
  <c r="R962" i="2" s="1"/>
  <c r="Q963" i="2"/>
  <c r="R963" i="2" s="1"/>
  <c r="Q783" i="2"/>
  <c r="R783" i="2" s="1"/>
  <c r="Q128" i="2"/>
  <c r="Q965" i="2"/>
  <c r="R965" i="2" s="1"/>
  <c r="Q564" i="2"/>
  <c r="R564" i="2" s="1"/>
  <c r="Q966" i="2"/>
  <c r="R966" i="2" s="1"/>
  <c r="Q969" i="2"/>
  <c r="R969" i="2" s="1"/>
  <c r="Q970" i="2"/>
  <c r="R970" i="2" s="1"/>
  <c r="Q976" i="2"/>
  <c r="R976" i="2" s="1"/>
  <c r="Q981" i="2"/>
  <c r="R981" i="2" s="1"/>
  <c r="Q983" i="2"/>
  <c r="Q985" i="2"/>
  <c r="R985" i="2" s="1"/>
  <c r="Q986" i="2"/>
  <c r="R986" i="2" s="1"/>
  <c r="Q841" i="2"/>
  <c r="R841" i="2" s="1"/>
  <c r="Q987" i="2"/>
  <c r="R987" i="2" s="1"/>
  <c r="Q973" i="2"/>
  <c r="R973" i="2" s="1"/>
  <c r="Q990" i="2"/>
  <c r="R990" i="2" s="1"/>
  <c r="Q56" i="2"/>
  <c r="R56" i="2" s="1"/>
  <c r="Q993" i="2"/>
  <c r="R993" i="2" s="1"/>
  <c r="Q687" i="2"/>
  <c r="R687" i="2" s="1"/>
  <c r="Q527" i="2"/>
  <c r="R527" i="2" s="1"/>
  <c r="Q181" i="2"/>
  <c r="R181" i="2" s="1"/>
  <c r="Q733" i="2"/>
  <c r="R733" i="2" s="1"/>
  <c r="Q492" i="2"/>
  <c r="R492" i="2" s="1"/>
  <c r="Q867" i="2"/>
  <c r="R867" i="2" s="1"/>
  <c r="Q997" i="2"/>
  <c r="R997" i="2" s="1"/>
  <c r="Q329" i="2"/>
  <c r="R329" i="2" s="1"/>
  <c r="Q998" i="2"/>
  <c r="R998" i="2" s="1"/>
  <c r="Q658" i="2"/>
  <c r="R658" i="2" s="1"/>
  <c r="Q874" i="2"/>
  <c r="R874" i="2" s="1"/>
  <c r="Q321" i="2"/>
  <c r="R321" i="2" s="1"/>
  <c r="Q999" i="2"/>
  <c r="R999" i="2" s="1"/>
  <c r="Q1000" i="2"/>
  <c r="R1000" i="2" s="1"/>
  <c r="Q566" i="2"/>
  <c r="R566" i="2" s="1"/>
  <c r="Q593" i="2"/>
  <c r="R534" i="2"/>
  <c r="R21" i="2"/>
  <c r="R718" i="2"/>
  <c r="R505" i="2"/>
  <c r="R54" i="2"/>
  <c r="R57" i="2"/>
  <c r="R60" i="2"/>
  <c r="R947" i="2"/>
  <c r="R4" i="2"/>
  <c r="R640" i="2"/>
  <c r="R454" i="2"/>
  <c r="R830" i="2"/>
  <c r="R102" i="2"/>
  <c r="R107" i="2"/>
  <c r="R119" i="2"/>
  <c r="R126" i="2"/>
  <c r="R595" i="2"/>
  <c r="R146" i="2"/>
  <c r="R152" i="2"/>
  <c r="R504" i="2"/>
  <c r="R157" i="2"/>
  <c r="R738" i="2"/>
  <c r="R995" i="2"/>
  <c r="R185" i="2"/>
  <c r="R678" i="2"/>
  <c r="R196" i="2"/>
  <c r="R210" i="2"/>
  <c r="R124" i="2"/>
  <c r="R46" i="2"/>
  <c r="R219" i="2"/>
  <c r="R440" i="2"/>
  <c r="R656" i="2"/>
  <c r="R383" i="2"/>
  <c r="R241" i="2"/>
  <c r="R838" i="2"/>
  <c r="R277" i="2"/>
  <c r="R374" i="2"/>
  <c r="R298" i="2"/>
  <c r="R1001" i="2"/>
  <c r="R327" i="2"/>
  <c r="R330" i="2"/>
  <c r="R486" i="2"/>
  <c r="R364" i="2"/>
  <c r="R351" i="2"/>
  <c r="R772" i="2"/>
  <c r="R228" i="2"/>
  <c r="R389" i="2"/>
  <c r="R121" i="2"/>
  <c r="R379" i="2"/>
  <c r="R260" i="2"/>
  <c r="R427" i="2"/>
  <c r="R437" i="2"/>
  <c r="R58" i="2"/>
  <c r="R457" i="2"/>
  <c r="R478" i="2"/>
  <c r="R482" i="2"/>
  <c r="R487" i="2"/>
  <c r="R632" i="2"/>
  <c r="R897" i="2"/>
  <c r="R526" i="2"/>
  <c r="R533" i="2"/>
  <c r="R542" i="2"/>
  <c r="R554" i="2"/>
  <c r="R586" i="2"/>
  <c r="R589" i="2"/>
  <c r="R592" i="2"/>
  <c r="R599" i="2"/>
  <c r="R613" i="2"/>
  <c r="R513" i="2"/>
  <c r="R996" i="2"/>
  <c r="R6" i="2"/>
  <c r="R462" i="2"/>
  <c r="R680" i="2"/>
  <c r="R688" i="2"/>
  <c r="R244" i="2"/>
  <c r="R699" i="2"/>
  <c r="R732" i="2"/>
  <c r="R122" i="2"/>
  <c r="R749" i="2"/>
  <c r="R754" i="2"/>
  <c r="R858" i="2"/>
  <c r="R692" i="2"/>
  <c r="R787" i="2"/>
  <c r="R905" i="2"/>
  <c r="R544" i="2"/>
  <c r="R829" i="2"/>
  <c r="R74" i="2"/>
  <c r="R845" i="2"/>
  <c r="R863" i="2"/>
  <c r="R372" i="2"/>
  <c r="R717" i="2"/>
  <c r="R274" i="2"/>
  <c r="R914" i="2"/>
  <c r="R901" i="2"/>
  <c r="R907" i="2"/>
  <c r="R915" i="2"/>
  <c r="R932" i="2"/>
  <c r="R940" i="2"/>
  <c r="R859" i="2"/>
  <c r="R128" i="2"/>
  <c r="R983" i="2"/>
  <c r="R593" i="2"/>
  <c r="T2" i="2"/>
  <c r="T3" i="2"/>
  <c r="T5" i="2"/>
  <c r="T9" i="2"/>
  <c r="T822" i="2"/>
  <c r="T110" i="2"/>
  <c r="T11" i="2"/>
  <c r="T439" i="2"/>
  <c r="T12" i="2"/>
  <c r="T534" i="2"/>
  <c r="T802" i="2"/>
  <c r="T15" i="2"/>
  <c r="T16" i="2"/>
  <c r="T17" i="2"/>
  <c r="T826" i="2"/>
  <c r="T21" i="2"/>
  <c r="T22" i="2"/>
  <c r="T261" i="2"/>
  <c r="T644" i="2"/>
  <c r="T25" i="2"/>
  <c r="T113" i="2"/>
  <c r="T551" i="2"/>
  <c r="T740" i="2"/>
  <c r="T718" i="2"/>
  <c r="T26" i="2"/>
  <c r="T28" i="2"/>
  <c r="T29" i="2"/>
  <c r="T30" i="2"/>
  <c r="T730" i="2"/>
  <c r="T800" i="2"/>
  <c r="T32" i="2"/>
  <c r="T505" i="2"/>
  <c r="T36" i="2"/>
  <c r="T282" i="2"/>
  <c r="T37" i="2"/>
  <c r="T216" i="2"/>
  <c r="T38" i="2"/>
  <c r="T547" i="2"/>
  <c r="T39" i="2"/>
  <c r="T43" i="2"/>
  <c r="T764" i="2"/>
  <c r="T44" i="2"/>
  <c r="T45" i="2"/>
  <c r="T47" i="2"/>
  <c r="T24" i="2"/>
  <c r="T48" i="2"/>
  <c r="T49" i="2"/>
  <c r="T538" i="2"/>
  <c r="T52" i="2"/>
  <c r="T54" i="2"/>
  <c r="T662" i="2"/>
  <c r="T57" i="2"/>
  <c r="T460" i="2"/>
  <c r="T666" i="2"/>
  <c r="T609" i="2"/>
  <c r="T60" i="2"/>
  <c r="T127" i="2"/>
  <c r="T61" i="2"/>
  <c r="T66" i="2"/>
  <c r="T67" i="2"/>
  <c r="T8" i="2"/>
  <c r="T578" i="2"/>
  <c r="T68" i="2"/>
  <c r="T947" i="2"/>
  <c r="T69" i="2"/>
  <c r="T721" i="2"/>
  <c r="T70" i="2"/>
  <c r="T751" i="2"/>
  <c r="T716" i="2"/>
  <c r="T71" i="2"/>
  <c r="T76" i="2"/>
  <c r="T4" i="2"/>
  <c r="T77" i="2"/>
  <c r="T78" i="2"/>
  <c r="T81" i="2"/>
  <c r="T82" i="2"/>
  <c r="T977" i="2"/>
  <c r="T835" i="2"/>
  <c r="T806" i="2"/>
  <c r="T640" i="2"/>
  <c r="T350" i="2"/>
  <c r="T83" i="2"/>
  <c r="T781" i="2"/>
  <c r="T84" i="2"/>
  <c r="T743" i="2"/>
  <c r="T85" i="2"/>
  <c r="T378" i="2"/>
  <c r="T454" i="2"/>
  <c r="T813" i="2"/>
  <c r="T86" i="2"/>
  <c r="T89" i="2"/>
  <c r="T830" i="2"/>
  <c r="T90" i="2"/>
  <c r="T91" i="2"/>
  <c r="T92" i="2"/>
  <c r="T483" i="2"/>
  <c r="T97" i="2"/>
  <c r="T100" i="2"/>
  <c r="T648" i="2"/>
  <c r="T334" i="2"/>
  <c r="T101" i="2"/>
  <c r="T167" i="2"/>
  <c r="T860" i="2"/>
  <c r="T102" i="2"/>
  <c r="T103" i="2"/>
  <c r="T106" i="2"/>
  <c r="T107" i="2"/>
  <c r="T984" i="2"/>
  <c r="T397" i="2"/>
  <c r="T109" i="2"/>
  <c r="T117" i="2"/>
  <c r="T119" i="2"/>
  <c r="T120" i="2"/>
  <c r="T125" i="2"/>
  <c r="T788" i="2"/>
  <c r="T126" i="2"/>
  <c r="T346" i="2"/>
  <c r="T402" i="2"/>
  <c r="T53" i="2"/>
  <c r="T595" i="2"/>
  <c r="T318" i="2"/>
  <c r="T784" i="2"/>
  <c r="T129" i="2"/>
  <c r="T660" i="2"/>
  <c r="T294" i="2"/>
  <c r="T130" i="2"/>
  <c r="T250" i="2"/>
  <c r="T132" i="2"/>
  <c r="T418" i="2"/>
  <c r="T134" i="2"/>
  <c r="T815" i="2"/>
  <c r="T136" i="2"/>
  <c r="T137" i="2"/>
  <c r="T138" i="2"/>
  <c r="T140" i="2"/>
  <c r="T376" i="2"/>
  <c r="T143" i="2"/>
  <c r="T144" i="2"/>
  <c r="T464" i="2"/>
  <c r="T146" i="2"/>
  <c r="T147" i="2"/>
  <c r="T148" i="2"/>
  <c r="T150" i="2"/>
  <c r="T152" i="2"/>
  <c r="T153" i="2"/>
  <c r="T477" i="2"/>
  <c r="T634" i="2"/>
  <c r="T154" i="2"/>
  <c r="T178" i="2"/>
  <c r="T156" i="2"/>
  <c r="T158" i="2"/>
  <c r="T504" i="2"/>
  <c r="T164" i="2"/>
  <c r="T729" i="2"/>
  <c r="T247" i="2"/>
  <c r="T165" i="2"/>
  <c r="T166" i="2"/>
  <c r="T20" i="2"/>
  <c r="T168" i="2"/>
  <c r="T157" i="2"/>
  <c r="T170" i="2"/>
  <c r="T171" i="2"/>
  <c r="T982" i="2"/>
  <c r="T913" i="2"/>
  <c r="T172" i="2"/>
  <c r="T173" i="2"/>
  <c r="T176" i="2"/>
  <c r="T738" i="2"/>
  <c r="T344" i="2"/>
  <c r="T995" i="2"/>
  <c r="T177" i="2"/>
  <c r="T179" i="2"/>
  <c r="T633" i="2"/>
  <c r="T180" i="2"/>
  <c r="T183" i="2"/>
  <c r="T185" i="2"/>
  <c r="T902" i="2"/>
  <c r="T186" i="2"/>
  <c r="T41" i="2"/>
  <c r="T706" i="2"/>
  <c r="T587" i="2"/>
  <c r="T193" i="2"/>
  <c r="T194" i="2"/>
  <c r="T678" i="2"/>
  <c r="T292" i="2"/>
  <c r="T401" i="2"/>
  <c r="T195" i="2"/>
  <c r="T196" i="2"/>
  <c r="T163" i="2"/>
  <c r="T200" i="2"/>
  <c r="T204" i="2"/>
  <c r="T203" i="2"/>
  <c r="T206" i="2"/>
  <c r="T546" i="2"/>
  <c r="T753" i="2"/>
  <c r="T207" i="2"/>
  <c r="T133" i="2"/>
  <c r="T365" i="2"/>
  <c r="T93" i="2"/>
  <c r="T210" i="2"/>
  <c r="T878" i="2"/>
  <c r="T124" i="2"/>
  <c r="T211" i="2"/>
  <c r="T846" i="2"/>
  <c r="T281" i="2"/>
  <c r="T213" i="2"/>
  <c r="T214" i="2"/>
  <c r="T46" i="2"/>
  <c r="T215" i="2"/>
  <c r="T218" i="2"/>
  <c r="T702" i="2"/>
  <c r="T219" i="2"/>
  <c r="T246" i="2"/>
  <c r="T33" i="2"/>
  <c r="T220" i="2"/>
  <c r="T440" i="2"/>
  <c r="T112" i="2"/>
  <c r="T222" i="2"/>
  <c r="T518" i="2"/>
  <c r="T224" i="2"/>
  <c r="T226" i="2"/>
  <c r="T227" i="2"/>
  <c r="T626" i="2"/>
  <c r="T866" i="2"/>
  <c r="T229" i="2"/>
  <c r="T230" i="2"/>
  <c r="T205" i="2"/>
  <c r="T233" i="2"/>
  <c r="T234" i="2"/>
  <c r="T23" i="2"/>
  <c r="T237" i="2"/>
  <c r="T656" i="2"/>
  <c r="T235" i="2"/>
  <c r="T383" i="2"/>
  <c r="T202" i="2"/>
  <c r="T238" i="2"/>
  <c r="T240" i="2"/>
  <c r="T198" i="2"/>
  <c r="T904" i="2"/>
  <c r="T241" i="2"/>
  <c r="T242" i="2"/>
  <c r="T248" i="2"/>
  <c r="T690" i="2"/>
  <c r="T948" i="2"/>
  <c r="T253" i="2"/>
  <c r="T254" i="2"/>
  <c r="T257" i="2"/>
  <c r="T838" i="2"/>
  <c r="T258" i="2"/>
  <c r="T259" i="2"/>
  <c r="T262" i="2"/>
  <c r="T79" i="2"/>
  <c r="T264" i="2"/>
  <c r="T265" i="2"/>
  <c r="T653" i="2"/>
  <c r="T299" i="2"/>
  <c r="T268" i="2"/>
  <c r="T34" i="2"/>
  <c r="T272" i="2"/>
  <c r="T273" i="2"/>
  <c r="T275" i="2"/>
  <c r="T276" i="2"/>
  <c r="T335" i="2"/>
  <c r="T277" i="2"/>
  <c r="T278" i="2"/>
  <c r="T162" i="2"/>
  <c r="T131" i="2"/>
  <c r="T280" i="2"/>
  <c r="T954" i="2"/>
  <c r="T95" i="2"/>
  <c r="T283" i="2"/>
  <c r="T374" i="2"/>
  <c r="T286" i="2"/>
  <c r="T287" i="2"/>
  <c r="T288" i="2"/>
  <c r="T377" i="2"/>
  <c r="T255" i="2"/>
  <c r="T290" i="2"/>
  <c r="T295" i="2"/>
  <c r="T298" i="2"/>
  <c r="T301" i="2"/>
  <c r="T303" i="2"/>
  <c r="T562" i="2"/>
  <c r="T304" i="2"/>
  <c r="T305" i="2"/>
  <c r="T307" i="2"/>
  <c r="T308" i="2"/>
  <c r="T323" i="2"/>
  <c r="T727" i="2"/>
  <c r="T310" i="2"/>
  <c r="T312" i="2"/>
  <c r="T502" i="2"/>
  <c r="T314" i="2"/>
  <c r="T315" i="2"/>
  <c r="T42" i="2"/>
  <c r="T1001" i="2"/>
  <c r="T316" i="2"/>
  <c r="T317" i="2"/>
  <c r="T319" i="2"/>
  <c r="T320" i="2"/>
  <c r="T322" i="2"/>
  <c r="T324" i="2"/>
  <c r="T326" i="2"/>
  <c r="T327" i="2"/>
  <c r="T855" i="2"/>
  <c r="T330" i="2"/>
  <c r="T98" i="2"/>
  <c r="T332" i="2"/>
  <c r="T336" i="2"/>
  <c r="T964" i="2"/>
  <c r="T337" i="2"/>
  <c r="T486" i="2"/>
  <c r="T338" i="2"/>
  <c r="T342" i="2"/>
  <c r="T343" i="2"/>
  <c r="T711" i="2"/>
  <c r="T345" i="2"/>
  <c r="T456" i="2"/>
  <c r="T635" i="2"/>
  <c r="T760" i="2"/>
  <c r="T650" i="2"/>
  <c r="T347" i="2"/>
  <c r="T348" i="2"/>
  <c r="T484" i="2"/>
  <c r="T349" i="2"/>
  <c r="T627" i="2"/>
  <c r="T422" i="2"/>
  <c r="T352" i="2"/>
  <c r="T898" i="2"/>
  <c r="T354" i="2"/>
  <c r="T184" i="2"/>
  <c r="T355" i="2"/>
  <c r="T201" i="2"/>
  <c r="T356" i="2"/>
  <c r="T876" i="2"/>
  <c r="T359" i="2"/>
  <c r="T360" i="2"/>
  <c r="T340" i="2"/>
  <c r="T271" i="2"/>
  <c r="T361" i="2"/>
  <c r="T362" i="2"/>
  <c r="T363" i="2"/>
  <c r="T223" i="2"/>
  <c r="T364" i="2"/>
  <c r="T367" i="2"/>
  <c r="T369" i="2"/>
  <c r="T370" i="2"/>
  <c r="T771" i="2"/>
  <c r="T659" i="2"/>
  <c r="T64" i="2"/>
  <c r="T672" i="2"/>
  <c r="T351" i="2"/>
  <c r="T55" i="2"/>
  <c r="T243" i="2"/>
  <c r="T13" i="2"/>
  <c r="T703" i="2"/>
  <c r="T989" i="2"/>
  <c r="T728" i="2"/>
  <c r="T373" i="2"/>
  <c r="T772" i="2"/>
  <c r="T381" i="2"/>
  <c r="T384" i="2"/>
  <c r="T385" i="2"/>
  <c r="T386" i="2"/>
  <c r="T88" i="2"/>
  <c r="T40" i="2"/>
  <c r="T636" i="2"/>
  <c r="T228" i="2"/>
  <c r="T302" i="2"/>
  <c r="T663" i="2"/>
  <c r="T506" i="2"/>
  <c r="T447" i="2"/>
  <c r="T388" i="2"/>
  <c r="T399" i="2"/>
  <c r="T607" i="2"/>
  <c r="T389" i="2"/>
  <c r="T392" i="2"/>
  <c r="T657" i="2"/>
  <c r="T393" i="2"/>
  <c r="T555" i="2"/>
  <c r="T331" i="2"/>
  <c r="T394" i="2"/>
  <c r="T638" i="2"/>
  <c r="T723" i="2"/>
  <c r="T469" i="2"/>
  <c r="T570" i="2"/>
  <c r="T396" i="2"/>
  <c r="T705" i="2"/>
  <c r="T937" i="2"/>
  <c r="T404" i="2"/>
  <c r="T190" i="2"/>
  <c r="T121" i="2"/>
  <c r="T684" i="2"/>
  <c r="T407" i="2"/>
  <c r="T682" i="2"/>
  <c r="T409" i="2"/>
  <c r="T410" i="2"/>
  <c r="T411" i="2"/>
  <c r="T601" i="2"/>
  <c r="T736" i="2"/>
  <c r="T412" i="2"/>
  <c r="T118" i="2"/>
  <c r="T406" i="2"/>
  <c r="T413" i="2"/>
  <c r="T414" i="2"/>
  <c r="T517" i="2"/>
  <c r="T475" i="2"/>
  <c r="T379" i="2"/>
  <c r="T416" i="2"/>
  <c r="T617" i="2"/>
  <c r="T417" i="2"/>
  <c r="T260" i="2"/>
  <c r="T844" i="2"/>
  <c r="T421" i="2"/>
  <c r="T423" i="2"/>
  <c r="T425" i="2"/>
  <c r="T160" i="2"/>
  <c r="T175" i="2"/>
  <c r="T10" i="2"/>
  <c r="T426" i="2"/>
  <c r="T217" i="2"/>
  <c r="T35" i="2"/>
  <c r="T561" i="2"/>
  <c r="T427" i="2"/>
  <c r="T639" i="2"/>
  <c r="T429" i="2"/>
  <c r="T430" i="2"/>
  <c r="T270" i="2"/>
  <c r="T559" i="2"/>
  <c r="T744" i="2"/>
  <c r="T431" i="2"/>
  <c r="T433" i="2"/>
  <c r="T174" i="2"/>
  <c r="T434" i="2"/>
  <c r="T435" i="2"/>
  <c r="T541" i="2"/>
  <c r="T436" i="2"/>
  <c r="T497" i="2"/>
  <c r="T300" i="2"/>
  <c r="T437" i="2"/>
  <c r="T199" i="2"/>
  <c r="T438" i="2"/>
  <c r="T366" i="2"/>
  <c r="T916" i="2"/>
  <c r="T839" i="2"/>
  <c r="T313" i="2"/>
  <c r="T918" i="2"/>
  <c r="T58" i="2"/>
  <c r="T735" i="2"/>
  <c r="T442" i="2"/>
  <c r="T293" i="2"/>
  <c r="T443" i="2"/>
  <c r="T444" i="2"/>
  <c r="T403" i="2"/>
  <c r="T445" i="2"/>
  <c r="T525" i="2"/>
  <c r="T191" i="2"/>
  <c r="T569" i="2"/>
  <c r="T225" i="2"/>
  <c r="T450" i="2"/>
  <c r="T452" i="2"/>
  <c r="T94" i="2"/>
  <c r="T455" i="2"/>
  <c r="T975" i="2"/>
  <c r="T832" i="2"/>
  <c r="T457" i="2"/>
  <c r="T459" i="2"/>
  <c r="T197" i="2"/>
  <c r="T27" i="2"/>
  <c r="T461" i="2"/>
  <c r="T391" i="2"/>
  <c r="T793" i="2"/>
  <c r="T463" i="2"/>
  <c r="T465" i="2"/>
  <c r="T467" i="2"/>
  <c r="T519" i="2"/>
  <c r="T470" i="2"/>
  <c r="T474" i="2"/>
  <c r="T472" i="2"/>
  <c r="T478" i="2"/>
  <c r="T479" i="2"/>
  <c r="T449" i="2"/>
  <c r="T480" i="2"/>
  <c r="T482" i="2"/>
  <c r="T485" i="2"/>
  <c r="T161" i="2"/>
  <c r="T458" i="2"/>
  <c r="T487" i="2"/>
  <c r="T488" i="2"/>
  <c r="T489" i="2"/>
  <c r="T493" i="2"/>
  <c r="T424" i="2"/>
  <c r="T574" i="2"/>
  <c r="T768" i="2"/>
  <c r="T759" i="2"/>
  <c r="T289" i="2"/>
  <c r="T769" i="2"/>
  <c r="T496" i="2"/>
  <c r="T499" i="2"/>
  <c r="T891" i="2"/>
  <c r="T501" i="2"/>
  <c r="T395" i="2"/>
  <c r="T503" i="2"/>
  <c r="T632" i="2"/>
  <c r="T897" i="2"/>
  <c r="T508" i="2"/>
  <c r="T510" i="2"/>
  <c r="T511" i="2"/>
  <c r="T73" i="2"/>
  <c r="T529" i="2"/>
  <c r="T512" i="2"/>
  <c r="T515" i="2"/>
  <c r="T516" i="2"/>
  <c r="T99" i="2"/>
  <c r="T520" i="2"/>
  <c r="T521" i="2"/>
  <c r="T471" i="2"/>
  <c r="T523" i="2"/>
  <c r="T524" i="2"/>
  <c r="T526" i="2"/>
  <c r="T631" i="2"/>
  <c r="T530" i="2"/>
  <c r="T256" i="2"/>
  <c r="T531" i="2"/>
  <c r="T115" i="2"/>
  <c r="T532" i="2"/>
  <c r="T725" i="2"/>
  <c r="T731" i="2"/>
  <c r="T266" i="2"/>
  <c r="T189" i="2"/>
  <c r="T533" i="2"/>
  <c r="T535" i="2"/>
  <c r="T536" i="2"/>
  <c r="T537" i="2"/>
  <c r="T539" i="2"/>
  <c r="T542" i="2"/>
  <c r="T543" i="2"/>
  <c r="T545" i="2"/>
  <c r="T548" i="2"/>
  <c r="T828" i="2"/>
  <c r="T549" i="2"/>
  <c r="T552" i="2"/>
  <c r="T553" i="2"/>
  <c r="T554" i="2"/>
  <c r="T123" i="2"/>
  <c r="T31" i="2"/>
  <c r="T556" i="2"/>
  <c r="T611" i="2"/>
  <c r="T358" i="2"/>
  <c r="T557" i="2"/>
  <c r="T558" i="2"/>
  <c r="T565" i="2"/>
  <c r="T80" i="2"/>
  <c r="T567" i="2"/>
  <c r="T568" i="2"/>
  <c r="T415" i="2"/>
  <c r="T572" i="2"/>
  <c r="T192" i="2"/>
  <c r="T575" i="2"/>
  <c r="T576" i="2"/>
  <c r="T579" i="2"/>
  <c r="T600" i="2"/>
  <c r="T420" i="2"/>
  <c r="T581" i="2"/>
  <c r="T956" i="2"/>
  <c r="T582" i="2"/>
  <c r="T583" i="2"/>
  <c r="T448" i="2"/>
  <c r="T494" i="2"/>
  <c r="T584" i="2"/>
  <c r="T509" i="2"/>
  <c r="T630" i="2"/>
  <c r="T615" i="2"/>
  <c r="T585" i="2"/>
  <c r="T311" i="2"/>
  <c r="T586" i="2"/>
  <c r="T269" i="2"/>
  <c r="T589" i="2"/>
  <c r="T251" i="2"/>
  <c r="T590" i="2"/>
  <c r="T623" i="2"/>
  <c r="T894" i="2"/>
  <c r="T931" i="2"/>
  <c r="T592" i="2"/>
  <c r="T594" i="2"/>
  <c r="T145" i="2"/>
  <c r="T353" i="2"/>
  <c r="T333" i="2"/>
  <c r="T596" i="2"/>
  <c r="T936" i="2"/>
  <c r="T597" i="2"/>
  <c r="T598" i="2"/>
  <c r="T382" i="2"/>
  <c r="T573" i="2"/>
  <c r="T803" i="2"/>
  <c r="T599" i="2"/>
  <c r="T602" i="2"/>
  <c r="T708" i="2"/>
  <c r="T604" i="2"/>
  <c r="T51" i="2"/>
  <c r="T608" i="2"/>
  <c r="T610" i="2"/>
  <c r="T507" i="2"/>
  <c r="T108" i="2"/>
  <c r="T357" i="2"/>
  <c r="T325" i="2"/>
  <c r="T612" i="2"/>
  <c r="T613" i="2"/>
  <c r="T18" i="2"/>
  <c r="T476" i="2"/>
  <c r="T491" i="2"/>
  <c r="T616" i="2"/>
  <c r="T620" i="2"/>
  <c r="T111" i="2"/>
  <c r="T375" i="2"/>
  <c r="T513" i="2"/>
  <c r="T622" i="2"/>
  <c r="T804" i="2"/>
  <c r="T328" i="2"/>
  <c r="T779" i="2"/>
  <c r="T249" i="2"/>
  <c r="T306" i="2"/>
  <c r="T628" i="2"/>
  <c r="T665" i="2"/>
  <c r="T924" i="2"/>
  <c r="T641" i="2"/>
  <c r="T637" i="2"/>
  <c r="T719" i="2"/>
  <c r="T724" i="2"/>
  <c r="T642" i="2"/>
  <c r="T643" i="2"/>
  <c r="T991" i="2"/>
  <c r="T887" i="2"/>
  <c r="T646" i="2"/>
  <c r="T577" i="2"/>
  <c r="T647" i="2"/>
  <c r="T649" i="2"/>
  <c r="T603" i="2"/>
  <c r="T453" i="2"/>
  <c r="T651" i="2"/>
  <c r="T188" i="2"/>
  <c r="T466" i="2"/>
  <c r="T652" i="2"/>
  <c r="T655" i="2"/>
  <c r="T390" i="2"/>
  <c r="T661" i="2"/>
  <c r="T748" i="2"/>
  <c r="T996" i="2"/>
  <c r="T580" i="2"/>
  <c r="T667" i="2"/>
  <c r="T669" i="2"/>
  <c r="T339" i="2"/>
  <c r="T670" i="2"/>
  <c r="T671" i="2"/>
  <c r="T673" i="2"/>
  <c r="T6" i="2"/>
  <c r="T715" i="2"/>
  <c r="T462" i="2"/>
  <c r="T398" i="2"/>
  <c r="T674" i="2"/>
  <c r="T675" i="2"/>
  <c r="T677" i="2"/>
  <c r="T679" i="2"/>
  <c r="T680" i="2"/>
  <c r="T681" i="2"/>
  <c r="T629" i="2"/>
  <c r="T104" i="2"/>
  <c r="T988" i="2"/>
  <c r="T105" i="2"/>
  <c r="T676" i="2"/>
  <c r="T87" i="2"/>
  <c r="T135" i="2"/>
  <c r="T209" i="2"/>
  <c r="T683" i="2"/>
  <c r="T685" i="2"/>
  <c r="T686" i="2"/>
  <c r="T50" i="2"/>
  <c r="T688" i="2"/>
  <c r="T75" i="2"/>
  <c r="T244" i="2"/>
  <c r="T689" i="2"/>
  <c r="T816" i="2"/>
  <c r="T142" i="2"/>
  <c r="T151" i="2"/>
  <c r="T691" i="2"/>
  <c r="T693" i="2"/>
  <c r="T490" i="2"/>
  <c r="T694" i="2"/>
  <c r="T697" i="2"/>
  <c r="T149" i="2"/>
  <c r="T861" i="2"/>
  <c r="T885" i="2"/>
  <c r="T698" i="2"/>
  <c r="T994" i="2"/>
  <c r="T59" i="2"/>
  <c r="T699" i="2"/>
  <c r="T208" i="2"/>
  <c r="T701" i="2"/>
  <c r="T704" i="2"/>
  <c r="T707" i="2"/>
  <c r="T709" i="2"/>
  <c r="T710" i="2"/>
  <c r="T854" i="2"/>
  <c r="T713" i="2"/>
  <c r="T805" i="2"/>
  <c r="T291" i="2"/>
  <c r="T446" i="2"/>
  <c r="T890" i="2"/>
  <c r="T714" i="2"/>
  <c r="T722" i="2"/>
  <c r="T726" i="2"/>
  <c r="T732" i="2"/>
  <c r="T734" i="2"/>
  <c r="T786" i="2"/>
  <c r="T737" i="2"/>
  <c r="T739" i="2"/>
  <c r="T968" i="2"/>
  <c r="T741" i="2"/>
  <c r="T882" i="2"/>
  <c r="T122" i="2"/>
  <c r="T182" i="2"/>
  <c r="T742" i="2"/>
  <c r="T619" i="2"/>
  <c r="T745" i="2"/>
  <c r="T746" i="2"/>
  <c r="T159" i="2"/>
  <c r="T747" i="2"/>
  <c r="T749" i="2"/>
  <c r="T752" i="2"/>
  <c r="T754" i="2"/>
  <c r="T755" i="2"/>
  <c r="T371" i="2"/>
  <c r="T756" i="2"/>
  <c r="T757" i="2"/>
  <c r="T155" i="2"/>
  <c r="T621" i="2"/>
  <c r="T368" i="2"/>
  <c r="T96" i="2"/>
  <c r="T720" i="2"/>
  <c r="T808" i="2"/>
  <c r="T522" i="2"/>
  <c r="T695" i="2"/>
  <c r="T758" i="2"/>
  <c r="T761" i="2"/>
  <c r="T979" i="2"/>
  <c r="T971" i="2"/>
  <c r="T605" i="2"/>
  <c r="T762" i="2"/>
  <c r="T921" i="2"/>
  <c r="T765" i="2"/>
  <c r="T766" i="2"/>
  <c r="T858" i="2"/>
  <c r="T712" i="2"/>
  <c r="T14" i="2"/>
  <c r="T419" i="2"/>
  <c r="T767" i="2"/>
  <c r="T770" i="2"/>
  <c r="T773" i="2"/>
  <c r="T774" i="2"/>
  <c r="T380" i="2"/>
  <c r="T775" i="2"/>
  <c r="T776" i="2"/>
  <c r="T591" i="2"/>
  <c r="T961" i="2"/>
  <c r="T777" i="2"/>
  <c r="T654" i="2"/>
  <c r="T778" i="2"/>
  <c r="T692" i="2"/>
  <c r="T780" i="2"/>
  <c r="T473" i="2"/>
  <c r="T782" i="2"/>
  <c r="T939" i="2"/>
  <c r="T974" i="2"/>
  <c r="T606" i="2"/>
  <c r="T920" i="2"/>
  <c r="T481" i="2"/>
  <c r="T785" i="2"/>
  <c r="T787" i="2"/>
  <c r="T7" i="2"/>
  <c r="T789" i="2"/>
  <c r="T139" i="2"/>
  <c r="T790" i="2"/>
  <c r="T791" i="2"/>
  <c r="T232" i="2"/>
  <c r="T408" i="2"/>
  <c r="T794" i="2"/>
  <c r="T63" i="2"/>
  <c r="T795" i="2"/>
  <c r="T796" i="2"/>
  <c r="T245" i="2"/>
  <c r="T432" i="2"/>
  <c r="T905" i="2"/>
  <c r="T797" i="2"/>
  <c r="T798" i="2"/>
  <c r="T297" i="2"/>
  <c r="T799" i="2"/>
  <c r="T284" i="2"/>
  <c r="T801" i="2"/>
  <c r="T807" i="2"/>
  <c r="T809" i="2"/>
  <c r="T831" i="2"/>
  <c r="T540" i="2"/>
  <c r="T949" i="2"/>
  <c r="T625" i="2"/>
  <c r="T811" i="2"/>
  <c r="T978" i="2"/>
  <c r="T221" i="2"/>
  <c r="T544" i="2"/>
  <c r="T114" i="2"/>
  <c r="T812" i="2"/>
  <c r="T814" i="2"/>
  <c r="T810" i="2"/>
  <c r="T817" i="2"/>
  <c r="T236" i="2"/>
  <c r="T967" i="2"/>
  <c r="T818" i="2"/>
  <c r="T267" i="2"/>
  <c r="T563" i="2"/>
  <c r="T819" i="2"/>
  <c r="T820" i="2"/>
  <c r="T823" i="2"/>
  <c r="T468" i="2"/>
  <c r="T824" i="2"/>
  <c r="T829" i="2"/>
  <c r="T19" i="2"/>
  <c r="T825" i="2"/>
  <c r="T169" i="2"/>
  <c r="T827" i="2"/>
  <c r="T834" i="2"/>
  <c r="T836" i="2"/>
  <c r="T550" i="2"/>
  <c r="T74" i="2"/>
  <c r="T500" i="2"/>
  <c r="T840" i="2"/>
  <c r="T560" i="2"/>
  <c r="T451" i="2"/>
  <c r="T696" i="2"/>
  <c r="T842" i="2"/>
  <c r="T72" i="2"/>
  <c r="T845" i="2"/>
  <c r="T847" i="2"/>
  <c r="T252" i="2"/>
  <c r="T848" i="2"/>
  <c r="T849" i="2"/>
  <c r="T296" i="2"/>
  <c r="T850" i="2"/>
  <c r="T851" i="2"/>
  <c r="T498" i="2"/>
  <c r="T852" i="2"/>
  <c r="T285" i="2"/>
  <c r="T853" i="2"/>
  <c r="T668" i="2"/>
  <c r="T856" i="2"/>
  <c r="T528" i="2"/>
  <c r="T857" i="2"/>
  <c r="T863" i="2"/>
  <c r="T864" i="2"/>
  <c r="T372" i="2"/>
  <c r="T865" i="2"/>
  <c r="T868" i="2"/>
  <c r="T869" i="2"/>
  <c r="T870" i="2"/>
  <c r="T871" i="2"/>
  <c r="T872" i="2"/>
  <c r="T873" i="2"/>
  <c r="T875" i="2"/>
  <c r="T862" i="2"/>
  <c r="T877" i="2"/>
  <c r="T879" i="2"/>
  <c r="T880" i="2"/>
  <c r="T881" i="2"/>
  <c r="T717" i="2"/>
  <c r="T187" i="2"/>
  <c r="T645" i="2"/>
  <c r="T883" i="2"/>
  <c r="T886" i="2"/>
  <c r="T992" i="2"/>
  <c r="T946" i="2"/>
  <c r="T239" i="2"/>
  <c r="T274" i="2"/>
  <c r="T888" i="2"/>
  <c r="T400" i="2"/>
  <c r="T387" i="2"/>
  <c r="T972" i="2"/>
  <c r="T889" i="2"/>
  <c r="T495" i="2"/>
  <c r="T892" i="2"/>
  <c r="T893" i="2"/>
  <c r="T895" i="2"/>
  <c r="T571" i="2"/>
  <c r="T309" i="2"/>
  <c r="T116" i="2"/>
  <c r="T896" i="2"/>
  <c r="T899" i="2"/>
  <c r="T341" i="2"/>
  <c r="T914" i="2"/>
  <c r="T900" i="2"/>
  <c r="T901" i="2"/>
  <c r="T903" i="2"/>
  <c r="T428" i="2"/>
  <c r="T906" i="2"/>
  <c r="T405" i="2"/>
  <c r="T911" i="2"/>
  <c r="T907" i="2"/>
  <c r="T908" i="2"/>
  <c r="T909" i="2"/>
  <c r="T910" i="2"/>
  <c r="T212" i="2"/>
  <c r="T912" i="2"/>
  <c r="T514" i="2"/>
  <c r="T821" i="2"/>
  <c r="T915" i="2"/>
  <c r="T837" i="2"/>
  <c r="T917" i="2"/>
  <c r="T919" i="2"/>
  <c r="T922" i="2"/>
  <c r="T763" i="2"/>
  <c r="T925" i="2"/>
  <c r="T141" i="2"/>
  <c r="T926" i="2"/>
  <c r="T927" i="2"/>
  <c r="T928" i="2"/>
  <c r="T65" i="2"/>
  <c r="T441" i="2"/>
  <c r="T929" i="2"/>
  <c r="T930" i="2"/>
  <c r="T792" i="2"/>
  <c r="T932" i="2"/>
  <c r="T933" i="2"/>
  <c r="T843" i="2"/>
  <c r="T614" i="2"/>
  <c r="T934" i="2"/>
  <c r="T935" i="2"/>
  <c r="T62" i="2"/>
  <c r="T938" i="2"/>
  <c r="T940" i="2"/>
  <c r="T923" i="2"/>
  <c r="T664" i="2"/>
  <c r="T941" i="2"/>
  <c r="T942" i="2"/>
  <c r="T231" i="2"/>
  <c r="T943" i="2"/>
  <c r="T944" i="2"/>
  <c r="T859" i="2"/>
  <c r="T980" i="2"/>
  <c r="T945" i="2"/>
  <c r="T950" i="2"/>
  <c r="T951" i="2"/>
  <c r="T884" i="2"/>
  <c r="T618" i="2"/>
  <c r="T263" i="2"/>
  <c r="T624" i="2"/>
  <c r="T952" i="2"/>
  <c r="T833" i="2"/>
  <c r="T750" i="2"/>
  <c r="T953" i="2"/>
  <c r="T955" i="2"/>
  <c r="T700" i="2"/>
  <c r="T957" i="2"/>
  <c r="T958" i="2"/>
  <c r="T959" i="2"/>
  <c r="T588" i="2"/>
  <c r="T960" i="2"/>
  <c r="T279" i="2"/>
  <c r="T962" i="2"/>
  <c r="T963" i="2"/>
  <c r="T783" i="2"/>
  <c r="T128" i="2"/>
  <c r="T965" i="2"/>
  <c r="T564" i="2"/>
  <c r="T966" i="2"/>
  <c r="T969" i="2"/>
  <c r="T970" i="2"/>
  <c r="T976" i="2"/>
  <c r="T981" i="2"/>
  <c r="T983" i="2"/>
  <c r="T985" i="2"/>
  <c r="T986" i="2"/>
  <c r="T841" i="2"/>
  <c r="T987" i="2"/>
  <c r="T973" i="2"/>
  <c r="T990" i="2"/>
  <c r="T56" i="2"/>
  <c r="T993" i="2"/>
  <c r="T687" i="2"/>
  <c r="T527" i="2"/>
  <c r="T181" i="2"/>
  <c r="T733" i="2"/>
  <c r="T492" i="2"/>
  <c r="T867" i="2"/>
  <c r="T997" i="2"/>
  <c r="T329" i="2"/>
  <c r="T998" i="2"/>
  <c r="T658" i="2"/>
  <c r="T874" i="2"/>
  <c r="T321" i="2"/>
  <c r="T999" i="2"/>
  <c r="T1000" i="2"/>
  <c r="T566" i="2"/>
  <c r="T593" i="2"/>
  <c r="I656" i="2"/>
  <c r="I837" i="2"/>
  <c r="I678" i="2"/>
  <c r="I437" i="2"/>
  <c r="I629" i="2"/>
  <c r="I640" i="2"/>
  <c r="I793" i="2"/>
  <c r="I613" i="2"/>
  <c r="I1001" i="2"/>
  <c r="I538" i="2"/>
  <c r="I60" i="2"/>
  <c r="I869" i="2"/>
  <c r="R4" i="19"/>
  <c r="A31" i="19" l="1"/>
  <c r="D31" i="19"/>
  <c r="Q2" i="2"/>
  <c r="R2" i="2" s="1"/>
  <c r="I492" i="2"/>
  <c r="I929" i="2"/>
  <c r="I856" i="2"/>
  <c r="I796" i="2"/>
  <c r="I968" i="2"/>
  <c r="I515" i="2"/>
  <c r="I973" i="2"/>
  <c r="I763" i="2"/>
  <c r="I296" i="2"/>
  <c r="I974" i="2"/>
  <c r="I714" i="2"/>
  <c r="I58" i="2"/>
  <c r="I970" i="2"/>
  <c r="I912" i="2"/>
  <c r="I696" i="2"/>
  <c r="I777" i="2"/>
  <c r="I709" i="2"/>
  <c r="I760" i="2"/>
  <c r="I962" i="2"/>
  <c r="I906" i="2"/>
  <c r="I834" i="2"/>
  <c r="I770" i="2"/>
  <c r="I698" i="2"/>
  <c r="I299" i="2"/>
  <c r="I955" i="2"/>
  <c r="I896" i="2"/>
  <c r="I823" i="2"/>
  <c r="I921" i="2"/>
  <c r="I691" i="2"/>
  <c r="I203" i="2"/>
  <c r="I884" i="2"/>
  <c r="I889" i="2"/>
  <c r="I817" i="2"/>
  <c r="I522" i="2"/>
  <c r="I104" i="2"/>
  <c r="I132" i="2"/>
  <c r="I231" i="2"/>
  <c r="I992" i="2"/>
  <c r="I811" i="2"/>
  <c r="I756" i="2"/>
  <c r="I715" i="2"/>
  <c r="I947" i="2"/>
  <c r="I999" i="2"/>
  <c r="I935" i="2"/>
  <c r="I284" i="2"/>
  <c r="I746" i="2"/>
  <c r="I651" i="2"/>
  <c r="I36" i="2"/>
  <c r="I127" i="2"/>
  <c r="I69" i="2"/>
  <c r="I418" i="2"/>
  <c r="I292" i="2"/>
  <c r="I235" i="2"/>
  <c r="I258" i="2"/>
  <c r="I463" i="2"/>
  <c r="I887" i="2"/>
  <c r="I3" i="2"/>
  <c r="I61" i="2"/>
  <c r="I477" i="2"/>
  <c r="I729" i="2"/>
  <c r="I995" i="2"/>
  <c r="I354" i="2"/>
  <c r="I657" i="2"/>
  <c r="I449" i="2"/>
  <c r="I145" i="2"/>
  <c r="I107" i="2"/>
  <c r="I211" i="2"/>
  <c r="I262" i="2"/>
  <c r="I319" i="2"/>
  <c r="I271" i="2"/>
  <c r="I406" i="2"/>
  <c r="I9" i="2"/>
  <c r="I332" i="2"/>
  <c r="I426" i="2"/>
  <c r="I424" i="2"/>
  <c r="I828" i="2"/>
  <c r="I599" i="2"/>
  <c r="I281" i="2"/>
  <c r="I264" i="2"/>
  <c r="I201" i="2"/>
  <c r="I602" i="2"/>
  <c r="I620" i="2"/>
  <c r="I649" i="2"/>
  <c r="I71" i="2"/>
  <c r="I40" i="2"/>
  <c r="I394" i="2"/>
  <c r="I552" i="2"/>
  <c r="I603" i="2"/>
  <c r="I68" i="2"/>
  <c r="I378" i="2"/>
  <c r="I150" i="2"/>
  <c r="I335" i="2"/>
  <c r="I607" i="2"/>
  <c r="I638" i="2"/>
  <c r="I321" i="2"/>
  <c r="I733" i="2"/>
  <c r="I987" i="2"/>
  <c r="I969" i="2"/>
  <c r="I279" i="2"/>
  <c r="I953" i="2"/>
  <c r="I951" i="2"/>
  <c r="I942" i="2"/>
  <c r="I934" i="2"/>
  <c r="I441" i="2"/>
  <c r="I922" i="2"/>
  <c r="I212" i="2"/>
  <c r="I428" i="2"/>
  <c r="I116" i="2"/>
  <c r="I972" i="2"/>
  <c r="I886" i="2"/>
  <c r="I877" i="2"/>
  <c r="I868" i="2"/>
  <c r="I668" i="2"/>
  <c r="I849" i="2"/>
  <c r="I451" i="2"/>
  <c r="I827" i="2"/>
  <c r="I820" i="2"/>
  <c r="I810" i="2"/>
  <c r="I625" i="2"/>
  <c r="I799" i="2"/>
  <c r="I795" i="2"/>
  <c r="I789" i="2"/>
  <c r="I939" i="2"/>
  <c r="I961" i="2"/>
  <c r="I767" i="2"/>
  <c r="I762" i="2"/>
  <c r="I808" i="2"/>
  <c r="I371" i="2"/>
  <c r="I745" i="2"/>
  <c r="I739" i="2"/>
  <c r="I890" i="2"/>
  <c r="I707" i="2"/>
  <c r="I885" i="2"/>
  <c r="I151" i="2"/>
  <c r="I685" i="2"/>
  <c r="I6" i="2"/>
  <c r="I991" i="2"/>
  <c r="I448" i="2"/>
  <c r="I632" i="2"/>
  <c r="I389" i="2"/>
  <c r="I486" i="2"/>
  <c r="I838" i="2"/>
  <c r="I595" i="2"/>
  <c r="I26" i="2"/>
  <c r="I170" i="2"/>
  <c r="I206" i="2"/>
  <c r="I112" i="2"/>
  <c r="I242" i="2"/>
  <c r="I301" i="2"/>
  <c r="I199" i="2"/>
  <c r="I382" i="2"/>
  <c r="I608" i="2"/>
  <c r="I282" i="2"/>
  <c r="I44" i="2"/>
  <c r="I124" i="2"/>
  <c r="I317" i="2"/>
  <c r="I369" i="2"/>
  <c r="I243" i="2"/>
  <c r="I31" i="2"/>
  <c r="I573" i="2"/>
  <c r="I802" i="2"/>
  <c r="I37" i="2"/>
  <c r="I662" i="2"/>
  <c r="I815" i="2"/>
  <c r="I184" i="2"/>
  <c r="I417" i="2"/>
  <c r="I10" i="2"/>
  <c r="I435" i="2"/>
  <c r="I533" i="2"/>
  <c r="I491" i="2"/>
  <c r="I216" i="2"/>
  <c r="I751" i="2"/>
  <c r="I830" i="2"/>
  <c r="I660" i="2"/>
  <c r="I207" i="2"/>
  <c r="I447" i="2"/>
  <c r="I779" i="2"/>
  <c r="I38" i="2"/>
  <c r="I8" i="2"/>
  <c r="I101" i="2"/>
  <c r="I633" i="2"/>
  <c r="I255" i="2"/>
  <c r="I322" i="2"/>
  <c r="I336" i="2"/>
  <c r="I937" i="2"/>
  <c r="I73" i="2"/>
  <c r="I115" i="2"/>
  <c r="I596" i="2"/>
  <c r="I675" i="2"/>
  <c r="I148" i="2"/>
  <c r="I365" i="2"/>
  <c r="I23" i="2"/>
  <c r="I198" i="2"/>
  <c r="I356" i="2"/>
  <c r="I609" i="2"/>
  <c r="I53" i="2"/>
  <c r="I183" i="2"/>
  <c r="I220" i="2"/>
  <c r="I612" i="2"/>
  <c r="I139" i="2"/>
  <c r="I764" i="2"/>
  <c r="I120" i="2"/>
  <c r="I215" i="2"/>
  <c r="I727" i="2"/>
  <c r="I392" i="2"/>
  <c r="I188" i="2"/>
  <c r="I534" i="2"/>
  <c r="I144" i="2"/>
  <c r="I171" i="2"/>
  <c r="I330" i="2"/>
  <c r="I342" i="2"/>
  <c r="I429" i="2"/>
  <c r="I496" i="2"/>
  <c r="I189" i="2"/>
  <c r="I646" i="2"/>
  <c r="I66" i="2"/>
  <c r="I288" i="2"/>
  <c r="I312" i="2"/>
  <c r="I366" i="2"/>
  <c r="I420" i="2"/>
  <c r="I509" i="2"/>
  <c r="I67" i="2"/>
  <c r="I126" i="2"/>
  <c r="I502" i="2"/>
  <c r="I771" i="2"/>
  <c r="I443" i="2"/>
  <c r="I482" i="2"/>
  <c r="I719" i="2"/>
  <c r="I977" i="2"/>
  <c r="I133" i="2"/>
  <c r="I246" i="2"/>
  <c r="I659" i="2"/>
  <c r="I217" i="2"/>
  <c r="I551" i="2"/>
  <c r="I85" i="2"/>
  <c r="I138" i="2"/>
  <c r="I180" i="2"/>
  <c r="I276" i="2"/>
  <c r="I404" i="2"/>
  <c r="I744" i="2"/>
  <c r="I474" i="2"/>
  <c r="I192" i="2"/>
  <c r="I936" i="2"/>
  <c r="I111" i="2"/>
  <c r="I49" i="2"/>
  <c r="I92" i="2"/>
  <c r="I860" i="2"/>
  <c r="I653" i="2"/>
  <c r="I635" i="2"/>
  <c r="I876" i="2"/>
  <c r="I918" i="2"/>
  <c r="I458" i="2"/>
  <c r="I512" i="2"/>
  <c r="I673" i="2"/>
  <c r="I153" i="2"/>
  <c r="I164" i="2"/>
  <c r="I55" i="2"/>
  <c r="I469" i="2"/>
  <c r="I488" i="2"/>
  <c r="I721" i="2"/>
  <c r="I186" i="2"/>
  <c r="I259" i="2"/>
  <c r="I347" i="2"/>
  <c r="I175" i="2"/>
  <c r="I489" i="2"/>
  <c r="I99" i="2"/>
  <c r="I81" i="2"/>
  <c r="I129" i="2"/>
  <c r="I195" i="2"/>
  <c r="I518" i="2"/>
  <c r="I13" i="2"/>
  <c r="I393" i="2"/>
  <c r="I225" i="2"/>
  <c r="I520" i="2"/>
  <c r="I84" i="2"/>
  <c r="I165" i="2"/>
  <c r="I846" i="2"/>
  <c r="I224" i="2"/>
  <c r="I377" i="2"/>
  <c r="I711" i="2"/>
  <c r="I616" i="2"/>
  <c r="I647" i="2"/>
  <c r="I24" i="2"/>
  <c r="I166" i="2"/>
  <c r="I275" i="2"/>
  <c r="I314" i="2"/>
  <c r="I362" i="2"/>
  <c r="I88" i="2"/>
  <c r="I436" i="2"/>
  <c r="I839" i="2"/>
  <c r="I470" i="2"/>
  <c r="I501" i="2"/>
  <c r="I105" i="2"/>
  <c r="I578" i="2"/>
  <c r="I402" i="2"/>
  <c r="I173" i="2"/>
  <c r="I307" i="2"/>
  <c r="I456" i="2"/>
  <c r="I403" i="2"/>
  <c r="I523" i="2"/>
  <c r="I826" i="2"/>
  <c r="I250" i="2"/>
  <c r="I204" i="2"/>
  <c r="I626" i="2"/>
  <c r="I308" i="2"/>
  <c r="I337" i="2"/>
  <c r="I422" i="2"/>
  <c r="I223" i="2"/>
  <c r="I472" i="2"/>
  <c r="I604" i="2"/>
  <c r="I2" i="2"/>
  <c r="I12" i="2"/>
  <c r="I268" i="2"/>
  <c r="I769" i="2"/>
  <c r="I266" i="2"/>
  <c r="I218" i="2"/>
  <c r="I287" i="2"/>
  <c r="I530" i="2"/>
  <c r="I567" i="2"/>
  <c r="I804" i="2"/>
  <c r="I89" i="2"/>
  <c r="I634" i="2"/>
  <c r="I177" i="2"/>
  <c r="I41" i="2"/>
  <c r="I202" i="2"/>
  <c r="I272" i="2"/>
  <c r="I98" i="2"/>
  <c r="I370" i="2"/>
  <c r="I47" i="2"/>
  <c r="I334" i="2"/>
  <c r="I219" i="2"/>
  <c r="I450" i="2"/>
  <c r="I294" i="2"/>
  <c r="I147" i="2"/>
  <c r="I178" i="2"/>
  <c r="I240" i="2"/>
  <c r="I844" i="2"/>
  <c r="I452" i="2"/>
  <c r="I800" i="2"/>
  <c r="I48" i="2"/>
  <c r="I33" i="2"/>
  <c r="I315" i="2"/>
  <c r="I517" i="2"/>
  <c r="I708" i="2"/>
  <c r="I373" i="2"/>
  <c r="I423" i="2"/>
  <c r="I539" i="2"/>
  <c r="I931" i="2"/>
  <c r="I628" i="2"/>
  <c r="I643" i="2"/>
  <c r="I874" i="2"/>
  <c r="I181" i="2"/>
  <c r="I841" i="2"/>
  <c r="I966" i="2"/>
  <c r="I960" i="2"/>
  <c r="I750" i="2"/>
  <c r="I950" i="2"/>
  <c r="I941" i="2"/>
  <c r="I614" i="2"/>
  <c r="I65" i="2"/>
  <c r="I919" i="2"/>
  <c r="I910" i="2"/>
  <c r="I903" i="2"/>
  <c r="I309" i="2"/>
  <c r="I387" i="2"/>
  <c r="I883" i="2"/>
  <c r="I862" i="2"/>
  <c r="I865" i="2"/>
  <c r="I853" i="2"/>
  <c r="I848" i="2"/>
  <c r="I560" i="2"/>
  <c r="I169" i="2"/>
  <c r="I819" i="2"/>
  <c r="I814" i="2"/>
  <c r="I949" i="2"/>
  <c r="I297" i="2"/>
  <c r="I63" i="2"/>
  <c r="I7" i="2"/>
  <c r="I782" i="2"/>
  <c r="I591" i="2"/>
  <c r="I419" i="2"/>
  <c r="I605" i="2"/>
  <c r="I720" i="2"/>
  <c r="I755" i="2"/>
  <c r="I619" i="2"/>
  <c r="I737" i="2"/>
  <c r="I446" i="2"/>
  <c r="I704" i="2"/>
  <c r="I861" i="2"/>
  <c r="I142" i="2"/>
  <c r="I683" i="2"/>
  <c r="I681" i="2"/>
  <c r="I671" i="2"/>
  <c r="I665" i="2"/>
  <c r="I576" i="2"/>
  <c r="I289" i="2"/>
  <c r="I433" i="2"/>
  <c r="I228" i="2"/>
  <c r="I327" i="2"/>
  <c r="I241" i="2"/>
  <c r="I185" i="2"/>
  <c r="I119" i="2"/>
  <c r="I723" i="2"/>
  <c r="I650" i="2"/>
  <c r="I897" i="2"/>
  <c r="I80" i="2"/>
  <c r="I18" i="2"/>
  <c r="I622" i="2"/>
  <c r="I28" i="2"/>
  <c r="I784" i="2"/>
  <c r="I546" i="2"/>
  <c r="I310" i="2"/>
  <c r="I617" i="2"/>
  <c r="I442" i="2"/>
  <c r="I641" i="2"/>
  <c r="I982" i="2"/>
  <c r="I510" i="2"/>
  <c r="I328" i="2"/>
  <c r="I136" i="2"/>
  <c r="I196" i="2"/>
  <c r="I361" i="2"/>
  <c r="I535" i="2"/>
  <c r="I630" i="2"/>
  <c r="I587" i="2"/>
  <c r="I253" i="2"/>
  <c r="I574" i="2"/>
  <c r="I835" i="2"/>
  <c r="I91" i="2"/>
  <c r="I200" i="2"/>
  <c r="I254" i="2"/>
  <c r="I421" i="2"/>
  <c r="I325" i="2"/>
  <c r="I740" i="2"/>
  <c r="I168" i="2"/>
  <c r="I636" i="2"/>
  <c r="I475" i="2"/>
  <c r="I583" i="2"/>
  <c r="I658" i="2"/>
  <c r="I527" i="2"/>
  <c r="I986" i="2"/>
  <c r="I564" i="2"/>
  <c r="I588" i="2"/>
  <c r="I833" i="2"/>
  <c r="I945" i="2"/>
  <c r="I664" i="2"/>
  <c r="I843" i="2"/>
  <c r="I928" i="2"/>
  <c r="I917" i="2"/>
  <c r="I909" i="2"/>
  <c r="I901" i="2"/>
  <c r="I571" i="2"/>
  <c r="I400" i="2"/>
  <c r="I645" i="2"/>
  <c r="I875" i="2"/>
  <c r="I372" i="2"/>
  <c r="I285" i="2"/>
  <c r="I252" i="2"/>
  <c r="I840" i="2"/>
  <c r="I825" i="2"/>
  <c r="I563" i="2"/>
  <c r="I812" i="2"/>
  <c r="I540" i="2"/>
  <c r="I798" i="2"/>
  <c r="I794" i="2"/>
  <c r="I787" i="2"/>
  <c r="I473" i="2"/>
  <c r="I776" i="2"/>
  <c r="I14" i="2"/>
  <c r="I971" i="2"/>
  <c r="I96" i="2"/>
  <c r="I754" i="2"/>
  <c r="I742" i="2"/>
  <c r="I786" i="2"/>
  <c r="I291" i="2"/>
  <c r="I701" i="2"/>
  <c r="I149" i="2"/>
  <c r="I816" i="2"/>
  <c r="I209" i="2"/>
  <c r="I680" i="2"/>
  <c r="I339" i="2"/>
  <c r="I513" i="2"/>
  <c r="I565" i="2"/>
  <c r="I487" i="2"/>
  <c r="I427" i="2"/>
  <c r="I772" i="2"/>
  <c r="I738" i="2"/>
  <c r="I102" i="2"/>
  <c r="I43" i="2"/>
  <c r="I879" i="2"/>
  <c r="I97" i="2"/>
  <c r="I878" i="2"/>
  <c r="I229" i="2"/>
  <c r="I416" i="2"/>
  <c r="I479" i="2"/>
  <c r="I516" i="2"/>
  <c r="I100" i="2"/>
  <c r="I106" i="2"/>
  <c r="I118" i="2"/>
  <c r="I464" i="2"/>
  <c r="I348" i="2"/>
  <c r="I682" i="2"/>
  <c r="I467" i="2"/>
  <c r="I669" i="2"/>
  <c r="I57" i="2"/>
  <c r="I179" i="2"/>
  <c r="I233" i="2"/>
  <c r="I320" i="2"/>
  <c r="I260" i="2"/>
  <c r="I270" i="2"/>
  <c r="I916" i="2"/>
  <c r="I108" i="2"/>
  <c r="I716" i="2"/>
  <c r="I346" i="2"/>
  <c r="I137" i="2"/>
  <c r="I954" i="2"/>
  <c r="I349" i="2"/>
  <c r="I410" i="2"/>
  <c r="I724" i="2"/>
  <c r="I390" i="2"/>
  <c r="I17" i="2"/>
  <c r="I109" i="2"/>
  <c r="I213" i="2"/>
  <c r="I227" i="2"/>
  <c r="I95" i="2"/>
  <c r="I964" i="2"/>
  <c r="I728" i="2"/>
  <c r="I35" i="2"/>
  <c r="I806" i="2"/>
  <c r="I194" i="2"/>
  <c r="I93" i="2"/>
  <c r="I904" i="2"/>
  <c r="I601" i="2"/>
  <c r="I445" i="2"/>
  <c r="I455" i="2"/>
  <c r="I524" i="2"/>
  <c r="I575" i="2"/>
  <c r="I453" i="2"/>
  <c r="I813" i="2"/>
  <c r="I360" i="2"/>
  <c r="I381" i="2"/>
  <c r="I684" i="2"/>
  <c r="I160" i="2"/>
  <c r="I639" i="2"/>
  <c r="I832" i="2"/>
  <c r="I924" i="2"/>
  <c r="I78" i="2"/>
  <c r="I134" i="2"/>
  <c r="I401" i="2"/>
  <c r="I230" i="2"/>
  <c r="I570" i="2"/>
  <c r="I438" i="2"/>
  <c r="I508" i="2"/>
  <c r="I600" i="2"/>
  <c r="I293" i="2"/>
  <c r="I459" i="2"/>
  <c r="I577" i="2"/>
  <c r="I398" i="2"/>
  <c r="I82" i="2"/>
  <c r="I304" i="2"/>
  <c r="I484" i="2"/>
  <c r="I705" i="2"/>
  <c r="I541" i="2"/>
  <c r="I197" i="2"/>
  <c r="I90" i="2"/>
  <c r="I397" i="2"/>
  <c r="I549" i="2"/>
  <c r="I615" i="2"/>
  <c r="I249" i="2"/>
  <c r="I110" i="2"/>
  <c r="I547" i="2"/>
  <c r="I167" i="2"/>
  <c r="I156" i="2"/>
  <c r="I363" i="2"/>
  <c r="I39" i="2"/>
  <c r="I117" i="2"/>
  <c r="I140" i="2"/>
  <c r="I237" i="2"/>
  <c r="I283" i="2"/>
  <c r="I300" i="2"/>
  <c r="I725" i="2"/>
  <c r="I553" i="2"/>
  <c r="I311" i="2"/>
  <c r="I375" i="2"/>
  <c r="I748" i="2"/>
  <c r="I998" i="2"/>
  <c r="I687" i="2"/>
  <c r="I985" i="2"/>
  <c r="I965" i="2"/>
  <c r="I959" i="2"/>
  <c r="I952" i="2"/>
  <c r="I980" i="2"/>
  <c r="I923" i="2"/>
  <c r="I933" i="2"/>
  <c r="I927" i="2"/>
  <c r="I908" i="2"/>
  <c r="I900" i="2"/>
  <c r="I895" i="2"/>
  <c r="I888" i="2"/>
  <c r="I187" i="2"/>
  <c r="I873" i="2"/>
  <c r="I864" i="2"/>
  <c r="I852" i="2"/>
  <c r="I847" i="2"/>
  <c r="I500" i="2"/>
  <c r="I19" i="2"/>
  <c r="I267" i="2"/>
  <c r="I114" i="2"/>
  <c r="I831" i="2"/>
  <c r="I797" i="2"/>
  <c r="I408" i="2"/>
  <c r="I785" i="2"/>
  <c r="I780" i="2"/>
  <c r="I775" i="2"/>
  <c r="I712" i="2"/>
  <c r="I979" i="2"/>
  <c r="I368" i="2"/>
  <c r="I752" i="2"/>
  <c r="I182" i="2"/>
  <c r="I734" i="2"/>
  <c r="I805" i="2"/>
  <c r="I208" i="2"/>
  <c r="I697" i="2"/>
  <c r="I689" i="2"/>
  <c r="I135" i="2"/>
  <c r="I679" i="2"/>
  <c r="I580" i="2"/>
  <c r="I554" i="2"/>
  <c r="I478" i="2"/>
  <c r="I425" i="2"/>
  <c r="I351" i="2"/>
  <c r="I323" i="2"/>
  <c r="I866" i="2"/>
  <c r="I157" i="2"/>
  <c r="I483" i="2"/>
  <c r="I505" i="2"/>
  <c r="I686" i="2"/>
  <c r="I367" i="2"/>
  <c r="I302" i="2"/>
  <c r="I123" i="2"/>
  <c r="I261" i="2"/>
  <c r="I54" i="2"/>
  <c r="I86" i="2"/>
  <c r="I222" i="2"/>
  <c r="I340" i="2"/>
  <c r="I407" i="2"/>
  <c r="I434" i="2"/>
  <c r="I457" i="2"/>
  <c r="I589" i="2"/>
  <c r="I5" i="2"/>
  <c r="I70" i="2"/>
  <c r="I648" i="2"/>
  <c r="I753" i="2"/>
  <c r="I205" i="2"/>
  <c r="I690" i="2"/>
  <c r="I506" i="2"/>
  <c r="I238" i="2"/>
  <c r="I948" i="2"/>
  <c r="I273" i="2"/>
  <c r="I555" i="2"/>
  <c r="I409" i="2"/>
  <c r="I511" i="2"/>
  <c r="I521" i="2"/>
  <c r="I611" i="2"/>
  <c r="I415" i="2"/>
  <c r="I822" i="2"/>
  <c r="I331" i="2"/>
  <c r="I559" i="2"/>
  <c r="I27" i="2"/>
  <c r="I536" i="2"/>
  <c r="I572" i="2"/>
  <c r="I623" i="2"/>
  <c r="I666" i="2"/>
  <c r="I265" i="2"/>
  <c r="I399" i="2"/>
  <c r="I161" i="2"/>
  <c r="I529" i="2"/>
  <c r="I532" i="2"/>
  <c r="I537" i="2"/>
  <c r="I557" i="2"/>
  <c r="I585" i="2"/>
  <c r="I642" i="2"/>
  <c r="I11" i="2"/>
  <c r="I32" i="2"/>
  <c r="I158" i="2"/>
  <c r="I190" i="2"/>
  <c r="I77" i="2"/>
  <c r="I318" i="2"/>
  <c r="I143" i="2"/>
  <c r="I344" i="2"/>
  <c r="I278" i="2"/>
  <c r="I338" i="2"/>
  <c r="I898" i="2"/>
  <c r="I412" i="2"/>
  <c r="I735" i="2"/>
  <c r="I579" i="2"/>
  <c r="I303" i="2"/>
  <c r="I663" i="2"/>
  <c r="I545" i="2"/>
  <c r="I610" i="2"/>
  <c r="I667" i="2"/>
  <c r="I644" i="2"/>
  <c r="I781" i="2"/>
  <c r="I343" i="2"/>
  <c r="I803" i="2"/>
  <c r="I637" i="2"/>
  <c r="I413" i="2"/>
  <c r="I531" i="2"/>
  <c r="I590" i="2"/>
  <c r="I113" i="2"/>
  <c r="I172" i="2"/>
  <c r="I163" i="2"/>
  <c r="I234" i="2"/>
  <c r="I388" i="2"/>
  <c r="I485" i="2"/>
  <c r="I358" i="2"/>
  <c r="I357" i="2"/>
  <c r="I290" i="2"/>
  <c r="I64" i="2"/>
  <c r="I313" i="2"/>
  <c r="I94" i="2"/>
  <c r="I768" i="2"/>
  <c r="I582" i="2"/>
  <c r="I76" i="2"/>
  <c r="I672" i="2"/>
  <c r="I593" i="2"/>
  <c r="I329" i="2"/>
  <c r="I993" i="2"/>
  <c r="I983" i="2"/>
  <c r="I128" i="2"/>
  <c r="I958" i="2"/>
  <c r="I624" i="2"/>
  <c r="I859" i="2"/>
  <c r="I940" i="2"/>
  <c r="I932" i="2"/>
  <c r="I926" i="2"/>
  <c r="I915" i="2"/>
  <c r="I907" i="2"/>
  <c r="I914" i="2"/>
  <c r="I893" i="2"/>
  <c r="I274" i="2"/>
  <c r="I717" i="2"/>
  <c r="I872" i="2"/>
  <c r="I863" i="2"/>
  <c r="I498" i="2"/>
  <c r="I845" i="2"/>
  <c r="I74" i="2"/>
  <c r="I829" i="2"/>
  <c r="I818" i="2"/>
  <c r="I544" i="2"/>
  <c r="I809" i="2"/>
  <c r="I905" i="2"/>
  <c r="I232" i="2"/>
  <c r="I481" i="2"/>
  <c r="I692" i="2"/>
  <c r="I380" i="2"/>
  <c r="I858" i="2"/>
  <c r="I761" i="2"/>
  <c r="I621" i="2"/>
  <c r="I749" i="2"/>
  <c r="I122" i="2"/>
  <c r="I732" i="2"/>
  <c r="I713" i="2"/>
  <c r="I699" i="2"/>
  <c r="I694" i="2"/>
  <c r="I244" i="2"/>
  <c r="I87" i="2"/>
  <c r="I677" i="2"/>
  <c r="I996" i="2"/>
  <c r="I51" i="2"/>
  <c r="I542" i="2"/>
  <c r="I379" i="2"/>
  <c r="I364" i="2"/>
  <c r="I298" i="2"/>
  <c r="I440" i="2"/>
  <c r="I504" i="2"/>
  <c r="I454" i="2"/>
  <c r="I718" i="2"/>
  <c r="I586" i="2"/>
  <c r="I52" i="2"/>
  <c r="I350" i="2"/>
  <c r="I855" i="2"/>
  <c r="I631" i="2"/>
  <c r="I83" i="2"/>
  <c r="I383" i="2"/>
  <c r="I248" i="2"/>
  <c r="I34" i="2"/>
  <c r="I384" i="2"/>
  <c r="I465" i="2"/>
  <c r="I584" i="2"/>
  <c r="I45" i="2"/>
  <c r="I247" i="2"/>
  <c r="I562" i="2"/>
  <c r="I385" i="2"/>
  <c r="I430" i="2"/>
  <c r="I480" i="2"/>
  <c r="I493" i="2"/>
  <c r="I548" i="2"/>
  <c r="I25" i="2"/>
  <c r="I30" i="2"/>
  <c r="I146" i="2"/>
  <c r="I913" i="2"/>
  <c r="I706" i="2"/>
  <c r="I355" i="2"/>
  <c r="I703" i="2"/>
  <c r="I519" i="2"/>
  <c r="I891" i="2"/>
  <c r="I333" i="2"/>
  <c r="I16" i="2"/>
  <c r="I460" i="2"/>
  <c r="I743" i="2"/>
  <c r="I345" i="2"/>
  <c r="I989" i="2"/>
  <c r="I444" i="2"/>
  <c r="I471" i="2"/>
  <c r="I20" i="2"/>
  <c r="I627" i="2"/>
  <c r="I461" i="2"/>
  <c r="I395" i="2"/>
  <c r="I894" i="2"/>
  <c r="I257" i="2"/>
  <c r="I295" i="2"/>
  <c r="I42" i="2"/>
  <c r="I561" i="2"/>
  <c r="I759" i="2"/>
  <c r="I503" i="2"/>
  <c r="I597" i="2"/>
  <c r="I566" i="2"/>
  <c r="I997" i="2"/>
  <c r="I56" i="2"/>
  <c r="I981" i="2"/>
  <c r="I783" i="2"/>
  <c r="I957" i="2"/>
  <c r="I263" i="2"/>
  <c r="I944" i="2"/>
  <c r="I938" i="2"/>
  <c r="I792" i="2"/>
  <c r="I141" i="2"/>
  <c r="I821" i="2"/>
  <c r="I911" i="2"/>
  <c r="I341" i="2"/>
  <c r="I892" i="2"/>
  <c r="I239" i="2"/>
  <c r="I881" i="2"/>
  <c r="I871" i="2"/>
  <c r="I857" i="2"/>
  <c r="I851" i="2"/>
  <c r="I72" i="2"/>
  <c r="I550" i="2"/>
  <c r="I824" i="2"/>
  <c r="I967" i="2"/>
  <c r="I221" i="2"/>
  <c r="I807" i="2"/>
  <c r="I432" i="2"/>
  <c r="I791" i="2"/>
  <c r="I920" i="2"/>
  <c r="I778" i="2"/>
  <c r="I774" i="2"/>
  <c r="I766" i="2"/>
  <c r="I758" i="2"/>
  <c r="I155" i="2"/>
  <c r="I747" i="2"/>
  <c r="I882" i="2"/>
  <c r="I726" i="2"/>
  <c r="I854" i="2"/>
  <c r="I59" i="2"/>
  <c r="I490" i="2"/>
  <c r="I75" i="2"/>
  <c r="I676" i="2"/>
  <c r="I674" i="2"/>
  <c r="I661" i="2"/>
  <c r="I598" i="2"/>
  <c r="I731" i="2"/>
  <c r="I975" i="2"/>
  <c r="I736" i="2"/>
  <c r="I359" i="2"/>
  <c r="I374" i="2"/>
  <c r="I46" i="2"/>
  <c r="I152" i="2"/>
  <c r="I21" i="2"/>
  <c r="I22" i="2"/>
  <c r="I103" i="2"/>
  <c r="I902" i="2"/>
  <c r="I286" i="2"/>
  <c r="I316" i="2"/>
  <c r="I174" i="2"/>
  <c r="I191" i="2"/>
  <c r="I543" i="2"/>
  <c r="I494" i="2"/>
  <c r="I269" i="2"/>
  <c r="I594" i="2"/>
  <c r="I125" i="2"/>
  <c r="I162" i="2"/>
  <c r="I569" i="2"/>
  <c r="I476" i="2"/>
  <c r="I466" i="2"/>
  <c r="I29" i="2"/>
  <c r="I788" i="2"/>
  <c r="I702" i="2"/>
  <c r="I131" i="2"/>
  <c r="I396" i="2"/>
  <c r="I499" i="2"/>
  <c r="I256" i="2"/>
  <c r="I556" i="2"/>
  <c r="I568" i="2"/>
  <c r="I251" i="2"/>
  <c r="I353" i="2"/>
  <c r="I507" i="2"/>
  <c r="I652" i="2"/>
  <c r="I15" i="2"/>
  <c r="I984" i="2"/>
  <c r="I154" i="2"/>
  <c r="I79" i="2"/>
  <c r="I280" i="2"/>
  <c r="I386" i="2"/>
  <c r="I581" i="2"/>
  <c r="I730" i="2"/>
  <c r="I226" i="2"/>
  <c r="I305" i="2"/>
  <c r="I414" i="2"/>
  <c r="I956" i="2"/>
  <c r="I670" i="2"/>
  <c r="I50" i="2"/>
  <c r="I130" i="2"/>
  <c r="I193" i="2"/>
  <c r="I324" i="2"/>
  <c r="I411" i="2"/>
  <c r="I497" i="2"/>
  <c r="I306" i="2"/>
  <c r="I176" i="2"/>
  <c r="I214" i="2"/>
  <c r="I326" i="2"/>
  <c r="I431" i="2"/>
  <c r="I391" i="2"/>
  <c r="I558" i="2"/>
  <c r="I1000" i="2"/>
  <c r="I867" i="2"/>
  <c r="I990" i="2"/>
  <c r="I976" i="2"/>
  <c r="I963" i="2"/>
  <c r="I700" i="2"/>
  <c r="I618" i="2"/>
  <c r="I943" i="2"/>
  <c r="I62" i="2"/>
  <c r="I930" i="2"/>
  <c r="I925" i="2"/>
  <c r="I514" i="2"/>
  <c r="I405" i="2"/>
  <c r="I899" i="2"/>
  <c r="I495" i="2"/>
  <c r="I946" i="2"/>
  <c r="I880" i="2"/>
  <c r="I870" i="2"/>
  <c r="I528" i="2"/>
  <c r="I850" i="2"/>
  <c r="I842" i="2"/>
  <c r="I836" i="2"/>
  <c r="I468" i="2"/>
  <c r="I236" i="2"/>
  <c r="I978" i="2"/>
  <c r="I801" i="2"/>
  <c r="I245" i="2"/>
  <c r="I790" i="2"/>
  <c r="I606" i="2"/>
  <c r="I654" i="2"/>
  <c r="I773" i="2"/>
  <c r="I765" i="2"/>
  <c r="I695" i="2"/>
  <c r="I757" i="2"/>
  <c r="I159" i="2"/>
  <c r="I741" i="2"/>
  <c r="I722" i="2"/>
  <c r="I710" i="2"/>
  <c r="I994" i="2"/>
  <c r="I693" i="2"/>
  <c r="I688" i="2"/>
  <c r="I988" i="2"/>
  <c r="I462" i="2"/>
  <c r="I655" i="2"/>
  <c r="I592" i="2"/>
  <c r="I526" i="2"/>
  <c r="I525" i="2"/>
  <c r="I121" i="2"/>
  <c r="I352" i="2"/>
  <c r="I277" i="2"/>
  <c r="I210" i="2"/>
  <c r="I376" i="2"/>
  <c r="I4" i="2"/>
  <c r="I43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756791-974D-4D95-8C0A-339C02161DD2}" keepAlive="1" name="Consulta - crimenes_cordoba_ampliado" description="Conexión a la consulta 'crimenes_cordoba_ampliado' en el libro." type="5" refreshedVersion="7" background="1" saveData="1">
    <dbPr connection="Provider=Microsoft.Mashup.OleDb.1;Data Source=$Workbook$;Location=crimenes_cordoba_ampliado;Extended Properties=&quot;&quot;" command="SELECT * FROM [crimenes_cordoba_ampliado]"/>
  </connection>
  <connection id="2" xr16:uid="{366EA919-E5A2-49CE-977B-5787A0C58674}" keepAlive="1" name="Consulta - crimenes_cordoba_ampliado (2)" description="Conexión a la consulta 'crimenes_cordoba_ampliado (2)' en el libro." type="5" refreshedVersion="0" background="1">
    <dbPr connection="Provider=Microsoft.Mashup.OleDb.1;Data Source=$Workbook$;Location=&quot;crimenes_cordoba_ampliado (2)&quot;;Extended Properties=&quot;&quot;" command="SELECT * FROM [crimenes_cordoba_ampliado (2)]"/>
  </connection>
  <connection id="3" xr16:uid="{465B8BA3-829D-45B9-9FF4-B0D77944B582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4EACDFB6-AEF5-462F-8927-97CFFE7A6671}" name="WorksheetConnection_Base de datos!$Q:$S" type="102" refreshedVersion="7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BasededatosQS"/>
        </x15:connection>
      </ext>
    </extLst>
  </connection>
  <connection id="5" xr16:uid="{1E59DD3A-6076-4690-A981-3E29AB3F2094}" name="WorksheetConnection_crimenes_cordoba_ampliado" type="102" refreshedVersion="7" minRefreshableVersion="5">
    <extLst>
      <ext xmlns:x15="http://schemas.microsoft.com/office/spreadsheetml/2010/11/main" uri="{DE250136-89BD-433C-8126-D09CA5730AF9}">
        <x15:connection id="crimenes_cordoba_ampliado">
          <x15:rangePr sourceName="_xlcn.WorksheetConnection_crimenes_cordoba_ampliado"/>
        </x15:connection>
      </ext>
    </extLst>
  </connection>
  <connection id="6" xr16:uid="{4A60411D-7A39-4179-B992-827914C69250}" name="WorksheetConnection_Tabla5" type="102" refreshedVersion="7" minRefreshableVersion="5">
    <extLst>
      <ext xmlns:x15="http://schemas.microsoft.com/office/spreadsheetml/2010/11/main" uri="{DE250136-89BD-433C-8126-D09CA5730AF9}">
        <x15:connection id="Tabla5">
          <x15:rangePr sourceName="_xlcn.WorksheetConnection_Tabla5"/>
        </x15:connection>
      </ext>
    </extLst>
  </connection>
</connections>
</file>

<file path=xl/sharedStrings.xml><?xml version="1.0" encoding="utf-8"?>
<sst xmlns="http://schemas.openxmlformats.org/spreadsheetml/2006/main" count="13316" uniqueCount="1472">
  <si>
    <t>ID</t>
  </si>
  <si>
    <t>Fecha</t>
  </si>
  <si>
    <t>Hora</t>
  </si>
  <si>
    <t>Tipo de delito</t>
  </si>
  <si>
    <t>Ubicación</t>
  </si>
  <si>
    <t>Fecha Nac. Delincuente</t>
  </si>
  <si>
    <t>Género Delincuente</t>
  </si>
  <si>
    <t>Cantidad de Delincuentes</t>
  </si>
  <si>
    <t>Fecha Nac. Víctima</t>
  </si>
  <si>
    <t>Género Víctima</t>
  </si>
  <si>
    <t>Cantidad de Víctimas</t>
  </si>
  <si>
    <t>Hubo Arresto</t>
  </si>
  <si>
    <t>Tipo de arma</t>
  </si>
  <si>
    <t>Agravante</t>
  </si>
  <si>
    <t>Objeto Robado/Dañado</t>
  </si>
  <si>
    <t>Presencia de Drogas</t>
  </si>
  <si>
    <t>Presencia de Alcohol</t>
  </si>
  <si>
    <t>Estado del Caso</t>
  </si>
  <si>
    <t>Sentencia (meses)</t>
  </si>
  <si>
    <t>Secuestro</t>
  </si>
  <si>
    <t>Villa El Libertador</t>
  </si>
  <si>
    <t>Femenino</t>
  </si>
  <si>
    <t>Masculino</t>
  </si>
  <si>
    <t>Sí</t>
  </si>
  <si>
    <t>No aplica</t>
  </si>
  <si>
    <t>No</t>
  </si>
  <si>
    <t>94</t>
  </si>
  <si>
    <t>Amenazas</t>
  </si>
  <si>
    <t>General Paz</t>
  </si>
  <si>
    <t>Sin agravantes</t>
  </si>
  <si>
    <t>122</t>
  </si>
  <si>
    <t>Homicidio</t>
  </si>
  <si>
    <t>Centro</t>
  </si>
  <si>
    <t>Cartera con documentación</t>
  </si>
  <si>
    <t>295</t>
  </si>
  <si>
    <t>Robo</t>
  </si>
  <si>
    <t>Arma de fuego</t>
  </si>
  <si>
    <t>88</t>
  </si>
  <si>
    <t>Vandalismo</t>
  </si>
  <si>
    <t>Lavado de dinero</t>
  </si>
  <si>
    <t>IPV Argüello</t>
  </si>
  <si>
    <t>Con ensañamiento</t>
  </si>
  <si>
    <t>Fraude</t>
  </si>
  <si>
    <t>Estafa bancaria</t>
  </si>
  <si>
    <t>156</t>
  </si>
  <si>
    <t>Hurto</t>
  </si>
  <si>
    <t>5kg de cocaína</t>
  </si>
  <si>
    <t>188</t>
  </si>
  <si>
    <t>Violación</t>
  </si>
  <si>
    <t>Jardín Espinosa</t>
  </si>
  <si>
    <t>Por vínculo</t>
  </si>
  <si>
    <t>Narcotráfico</t>
  </si>
  <si>
    <t>Argüello</t>
  </si>
  <si>
    <t>Vidrios de comercio rotos</t>
  </si>
  <si>
    <t>Corrupción</t>
  </si>
  <si>
    <t>Pueyrredón</t>
  </si>
  <si>
    <t>Evasión fiscal</t>
  </si>
  <si>
    <t>10</t>
  </si>
  <si>
    <t>San Vicente</t>
  </si>
  <si>
    <t>211</t>
  </si>
  <si>
    <t>Alberdi</t>
  </si>
  <si>
    <t>190</t>
  </si>
  <si>
    <t>Alta Córdoba</t>
  </si>
  <si>
    <t>Sin arma</t>
  </si>
  <si>
    <t>Celular, tarjetas bancarias</t>
  </si>
  <si>
    <t>Nueva Córdoba</t>
  </si>
  <si>
    <t>275</t>
  </si>
  <si>
    <t>Alevosía</t>
  </si>
  <si>
    <t>279</t>
  </si>
  <si>
    <t>Contrato fraudulento</t>
  </si>
  <si>
    <t>Cerro de las Rosas</t>
  </si>
  <si>
    <t>Arma blanca</t>
  </si>
  <si>
    <t>Cuentas falsas</t>
  </si>
  <si>
    <t>15</t>
  </si>
  <si>
    <t>208</t>
  </si>
  <si>
    <t>58</t>
  </si>
  <si>
    <t>67</t>
  </si>
  <si>
    <t>Laptop marca HP</t>
  </si>
  <si>
    <t>291</t>
  </si>
  <si>
    <t>Delitos financieros</t>
  </si>
  <si>
    <t>Ropa de marca</t>
  </si>
  <si>
    <t>Violencia de género</t>
  </si>
  <si>
    <t>79</t>
  </si>
  <si>
    <t>Objeto contundente</t>
  </si>
  <si>
    <t>34</t>
  </si>
  <si>
    <t>152</t>
  </si>
  <si>
    <t>Plantas de marihuana</t>
  </si>
  <si>
    <t>272</t>
  </si>
  <si>
    <t>42</t>
  </si>
  <si>
    <t>Dinero público desviado</t>
  </si>
  <si>
    <t>216</t>
  </si>
  <si>
    <t>154</t>
  </si>
  <si>
    <t>181</t>
  </si>
  <si>
    <t>187</t>
  </si>
  <si>
    <t>107</t>
  </si>
  <si>
    <t>172</t>
  </si>
  <si>
    <t>297</t>
  </si>
  <si>
    <t>41</t>
  </si>
  <si>
    <t>Celular</t>
  </si>
  <si>
    <t>Auto modelo XXX, patente XXX XXX</t>
  </si>
  <si>
    <t>270</t>
  </si>
  <si>
    <t>Billetera con $15,000 ARG</t>
  </si>
  <si>
    <t>150</t>
  </si>
  <si>
    <t>133</t>
  </si>
  <si>
    <t>69</t>
  </si>
  <si>
    <t>96</t>
  </si>
  <si>
    <t>Grafitis en edificios públicos</t>
  </si>
  <si>
    <t>228</t>
  </si>
  <si>
    <t>52</t>
  </si>
  <si>
    <t>35</t>
  </si>
  <si>
    <t>22</t>
  </si>
  <si>
    <t>236</t>
  </si>
  <si>
    <t>218</t>
  </si>
  <si>
    <t>Pasta base</t>
  </si>
  <si>
    <t>118</t>
  </si>
  <si>
    <t>134</t>
  </si>
  <si>
    <t>264</t>
  </si>
  <si>
    <t>129</t>
  </si>
  <si>
    <t>113</t>
  </si>
  <si>
    <t>116</t>
  </si>
  <si>
    <t>215</t>
  </si>
  <si>
    <t>62</t>
  </si>
  <si>
    <t>200</t>
  </si>
  <si>
    <t>45</t>
  </si>
  <si>
    <t>136</t>
  </si>
  <si>
    <t>65</t>
  </si>
  <si>
    <t>75</t>
  </si>
  <si>
    <t>298</t>
  </si>
  <si>
    <t>30</t>
  </si>
  <si>
    <t>97</t>
  </si>
  <si>
    <t>248</t>
  </si>
  <si>
    <t>47</t>
  </si>
  <si>
    <t>222</t>
  </si>
  <si>
    <t>Bicicleta</t>
  </si>
  <si>
    <t>73</t>
  </si>
  <si>
    <t>33</t>
  </si>
  <si>
    <t>130</t>
  </si>
  <si>
    <t>244</t>
  </si>
  <si>
    <t>86</t>
  </si>
  <si>
    <t>153</t>
  </si>
  <si>
    <t>23</t>
  </si>
  <si>
    <t>256</t>
  </si>
  <si>
    <t>119</t>
  </si>
  <si>
    <t>108</t>
  </si>
  <si>
    <t>20</t>
  </si>
  <si>
    <t>175</t>
  </si>
  <si>
    <t>151</t>
  </si>
  <si>
    <t>26</t>
  </si>
  <si>
    <t>74</t>
  </si>
  <si>
    <t>240</t>
  </si>
  <si>
    <t>166</t>
  </si>
  <si>
    <t>194</t>
  </si>
  <si>
    <t>87</t>
  </si>
  <si>
    <t>184</t>
  </si>
  <si>
    <t>120</t>
  </si>
  <si>
    <t>182</t>
  </si>
  <si>
    <t>173</t>
  </si>
  <si>
    <t>177</t>
  </si>
  <si>
    <t>183</t>
  </si>
  <si>
    <t>257</t>
  </si>
  <si>
    <t>197</t>
  </si>
  <si>
    <t>144</t>
  </si>
  <si>
    <t>55</t>
  </si>
  <si>
    <t>235</t>
  </si>
  <si>
    <t>180</t>
  </si>
  <si>
    <t>145</t>
  </si>
  <si>
    <t>213</t>
  </si>
  <si>
    <t>77</t>
  </si>
  <si>
    <t>112</t>
  </si>
  <si>
    <t>115</t>
  </si>
  <si>
    <t>191</t>
  </si>
  <si>
    <t>111</t>
  </si>
  <si>
    <t>214</t>
  </si>
  <si>
    <t>162</t>
  </si>
  <si>
    <t>170</t>
  </si>
  <si>
    <t>159</t>
  </si>
  <si>
    <t>6</t>
  </si>
  <si>
    <t>245</t>
  </si>
  <si>
    <t>126</t>
  </si>
  <si>
    <t>219</t>
  </si>
  <si>
    <t>64</t>
  </si>
  <si>
    <t>157</t>
  </si>
  <si>
    <t>284</t>
  </si>
  <si>
    <t>202</t>
  </si>
  <si>
    <t>293</t>
  </si>
  <si>
    <t>143</t>
  </si>
  <si>
    <t>48</t>
  </si>
  <si>
    <t>265</t>
  </si>
  <si>
    <t>139</t>
  </si>
  <si>
    <t>193</t>
  </si>
  <si>
    <t>285</t>
  </si>
  <si>
    <t>9</t>
  </si>
  <si>
    <t>281</t>
  </si>
  <si>
    <t>231</t>
  </si>
  <si>
    <t>243</t>
  </si>
  <si>
    <t>224</t>
  </si>
  <si>
    <t>161</t>
  </si>
  <si>
    <t>81</t>
  </si>
  <si>
    <t>247</t>
  </si>
  <si>
    <t>13</t>
  </si>
  <si>
    <t>273</t>
  </si>
  <si>
    <t>106</t>
  </si>
  <si>
    <t>125</t>
  </si>
  <si>
    <t>276</t>
  </si>
  <si>
    <t>251</t>
  </si>
  <si>
    <t>169</t>
  </si>
  <si>
    <t>7</t>
  </si>
  <si>
    <t>241</t>
  </si>
  <si>
    <t>109</t>
  </si>
  <si>
    <t>54</t>
  </si>
  <si>
    <t>50</t>
  </si>
  <si>
    <t>59</t>
  </si>
  <si>
    <t>137</t>
  </si>
  <si>
    <t>131</t>
  </si>
  <si>
    <t>160</t>
  </si>
  <si>
    <t>207</t>
  </si>
  <si>
    <t>61</t>
  </si>
  <si>
    <t>203</t>
  </si>
  <si>
    <t>225</t>
  </si>
  <si>
    <t>132</t>
  </si>
  <si>
    <t>288</t>
  </si>
  <si>
    <t>258</t>
  </si>
  <si>
    <t>289</t>
  </si>
  <si>
    <t>294</t>
  </si>
  <si>
    <t>98</t>
  </si>
  <si>
    <t>100</t>
  </si>
  <si>
    <t>147</t>
  </si>
  <si>
    <t>29</t>
  </si>
  <si>
    <t>262</t>
  </si>
  <si>
    <t>260</t>
  </si>
  <si>
    <t>68</t>
  </si>
  <si>
    <t>60</t>
  </si>
  <si>
    <t>296</t>
  </si>
  <si>
    <t>89</t>
  </si>
  <si>
    <t>43</t>
  </si>
  <si>
    <t>246</t>
  </si>
  <si>
    <t>49</t>
  </si>
  <si>
    <t>237</t>
  </si>
  <si>
    <t>165</t>
  </si>
  <si>
    <t>24</t>
  </si>
  <si>
    <t>171</t>
  </si>
  <si>
    <t>102</t>
  </si>
  <si>
    <t>266</t>
  </si>
  <si>
    <t>110</t>
  </si>
  <si>
    <t>80</t>
  </si>
  <si>
    <t>19</t>
  </si>
  <si>
    <t>201</t>
  </si>
  <si>
    <t>44</t>
  </si>
  <si>
    <t>277</t>
  </si>
  <si>
    <t>105</t>
  </si>
  <si>
    <t>239</t>
  </si>
  <si>
    <t>192</t>
  </si>
  <si>
    <t>18</t>
  </si>
  <si>
    <t>93</t>
  </si>
  <si>
    <t>28</t>
  </si>
  <si>
    <t>238</t>
  </si>
  <si>
    <t>141</t>
  </si>
  <si>
    <t>128</t>
  </si>
  <si>
    <t>252</t>
  </si>
  <si>
    <t>146</t>
  </si>
  <si>
    <t>99</t>
  </si>
  <si>
    <t>283</t>
  </si>
  <si>
    <t>250</t>
  </si>
  <si>
    <t>51</t>
  </si>
  <si>
    <t>300</t>
  </si>
  <si>
    <t>90</t>
  </si>
  <si>
    <t>91</t>
  </si>
  <si>
    <t>95</t>
  </si>
  <si>
    <t>205</t>
  </si>
  <si>
    <t>254</t>
  </si>
  <si>
    <t>221</t>
  </si>
  <si>
    <t>179</t>
  </si>
  <si>
    <t>16</t>
  </si>
  <si>
    <t>76</t>
  </si>
  <si>
    <t>253</t>
  </si>
  <si>
    <t>32</t>
  </si>
  <si>
    <t>198</t>
  </si>
  <si>
    <t>21</t>
  </si>
  <si>
    <t>11</t>
  </si>
  <si>
    <t>53</t>
  </si>
  <si>
    <t>230</t>
  </si>
  <si>
    <t>212</t>
  </si>
  <si>
    <t>210</t>
  </si>
  <si>
    <t>37</t>
  </si>
  <si>
    <t>292</t>
  </si>
  <si>
    <t>103</t>
  </si>
  <si>
    <t>269</t>
  </si>
  <si>
    <t>249</t>
  </si>
  <si>
    <t>56</t>
  </si>
  <si>
    <t>189</t>
  </si>
  <si>
    <t>199</t>
  </si>
  <si>
    <t>259</t>
  </si>
  <si>
    <t>148</t>
  </si>
  <si>
    <t>267</t>
  </si>
  <si>
    <t>78</t>
  </si>
  <si>
    <t>255</t>
  </si>
  <si>
    <t>142</t>
  </si>
  <si>
    <t>286</t>
  </si>
  <si>
    <t>57</t>
  </si>
  <si>
    <t>196</t>
  </si>
  <si>
    <t>195</t>
  </si>
  <si>
    <t>83</t>
  </si>
  <si>
    <t>71</t>
  </si>
  <si>
    <t>287</t>
  </si>
  <si>
    <t>39</t>
  </si>
  <si>
    <t>27</t>
  </si>
  <si>
    <t>124</t>
  </si>
  <si>
    <t>204</t>
  </si>
  <si>
    <t>186</t>
  </si>
  <si>
    <t>163</t>
  </si>
  <si>
    <t>8</t>
  </si>
  <si>
    <t>92</t>
  </si>
  <si>
    <t>66</t>
  </si>
  <si>
    <t>38</t>
  </si>
  <si>
    <t>72</t>
  </si>
  <si>
    <t>178</t>
  </si>
  <si>
    <t>17</t>
  </si>
  <si>
    <t>206</t>
  </si>
  <si>
    <t>164</t>
  </si>
  <si>
    <t>63</t>
  </si>
  <si>
    <t>70</t>
  </si>
  <si>
    <t>185</t>
  </si>
  <si>
    <t>84</t>
  </si>
  <si>
    <t>40</t>
  </si>
  <si>
    <t>217</t>
  </si>
  <si>
    <t>280</t>
  </si>
  <si>
    <t>263</t>
  </si>
  <si>
    <t>227</t>
  </si>
  <si>
    <t>167</t>
  </si>
  <si>
    <t>ID,Fecha,Hora,Tipo de delito,Ubicación,Fecha Nac. Delincuente,Género Delincuente,Cantidad de Delincuentes,Fecha Nac. Víctima,Género Víctima,Cantidad de Víctimas,Hubo Arresto,Tipo de arma,Agravante,Objeto Robado/Dañado,Presencia de Drogas,Presencia de Alcohol,Estado del Caso,Sentencia (meses)</t>
  </si>
  <si>
    <t>1,2023-10-29,23:58,Secuestro,Villa El Libertador,12/05/1973,Femenino,4,08/05/1957,Masculino,3,Sí,No aplica,No aplica,No aplica,Sí,No,Cerrado,94</t>
  </si>
  <si>
    <t>2,2017-03-15,10:06,Amenazas,General Paz,22/12/1962,Masculino,4,09/09/1973,Masculino,3,Sí,No aplica,Sin agravantes,No aplica,Sí,Sí,Abierto,122</t>
  </si>
  <si>
    <t>3,2022-10-22,19:07,Homicidio,Centro,02/03/2000,Masculino,4,16/09/1997,Femenino,3,Sí,No aplica,No aplica,Cartera con documentación,Sí,No,En investigación,295</t>
  </si>
  <si>
    <t>4,2023-10-04,20:12,Robo,General Paz,20/02/1993,Masculino,4,27/08/1973,Masculino,1,Sí,Arma de fuego,Sin agravantes,No aplica,Sí,No,Abierto,88</t>
  </si>
  <si>
    <t>5,2023-06-14,9:02,Vandalismo,Centro,03/12/1995,Femenino,5,24/10/1965,Femenino,2,No,No aplica,No aplica,Lavado de dinero,No,No,En investigación,No aplica</t>
  </si>
  <si>
    <t>6,2016-04-05,14:21,Amenazas,IPV Argüello,08/11/1971,Femenino,5,24/02/2007,Femenino,3,No,No aplica,Con ensañamiento,No aplica,No,No,En investigación,No aplica</t>
  </si>
  <si>
    <t>7,2019-08-08,9:09,Fraude,Centro,28/10/1951,Femenino,3,02/12/1991,Femenino,1,Sí,No aplica,No aplica,Estafa bancaria,No,Sí,Cerrado,156</t>
  </si>
  <si>
    <t>8,2019-08-20,12:06,Hurto,Centro,28/03/1980,Femenino,5,22/06/2001,Femenino,1,No,No aplica,No aplica,5kg de cocaína,No,No,Cerrado,No aplica</t>
  </si>
  <si>
    <t>9,2023-08-26,12:56,Hurto,Villa El Libertador,06/10/1959,Femenino,3,17/03/1955,Femenino,3,Sí,No aplica,No aplica,Estafa bancaria,No,No,Cerrado,188</t>
  </si>
  <si>
    <t>10,2020-07-15,3:43,Violación,Jardín Espinosa,11/10/1955,Femenino,2,08/01/1995,Femenino,1,No,No aplica,Por vínculo,No aplica,No,Sí,Abierto,No aplica</t>
  </si>
  <si>
    <t>11,2023-03-15,7:21,Narcotráfico,Argüello,09/03/1994,Femenino,3,12/03/1944,Masculino,1,No,No aplica,No aplica,Vidrios de comercio rotos,No,No,Abierto,No aplica</t>
  </si>
  <si>
    <t>12,2017-05-18,16:44,Corrupción,Pueyrredón,03/11/1984,Masculino,5,11/05/1960,Femenino,1,Sí,No aplica,No aplica,Evasión fiscal,No,No,Abierto,10</t>
  </si>
  <si>
    <t>13,2020-02-02,16:25,Secuestro,San Vicente,23/04/1967,Masculino,5,03/09/1941,Masculino,3,Sí,No aplica,No aplica,Vidrios de comercio rotos,No,No,Abierto,211</t>
  </si>
  <si>
    <t>14,2021-06-08,3:57,Narcotráfico,Alberdi,27/11/1950,Femenino,2,28/08/1990,Masculino,3,Sí,No aplica,Por vínculo,No aplica,No,No,Cerrado,190</t>
  </si>
  <si>
    <t>15,2023-06-26,21:59,Hurto,Alta Córdoba,19/10/1990,Masculino,3,16/11/1978,Masculino,1,No,Sin arma,No aplica,"Celular, tarjetas bancarias",No,Sí,Abierto,No aplica</t>
  </si>
  <si>
    <t>16,2023-11-26,5:41,Violación,Nueva Córdoba,09/06/1999,Masculino,3,24/09/1952,Femenino,1,Sí,No aplica,No aplica,No aplica,No,Sí,Cerrado,275</t>
  </si>
  <si>
    <t>17,2020-08-14,21:03,Secuestro,Pueyrredón,01/02/1992,Femenino,5,03/07/1947,Masculino,1,Sí,No aplica,Alevosía,No aplica,Sí,No,En investigación,279</t>
  </si>
  <si>
    <t>18,2017-11-10,13:28,Corrupción,Centro,15/02/1985,Femenino,5,22/10/2014,Femenino,1,No,No aplica,No aplica,Contrato fraudulento,Sí,Sí,Cerrado,No aplica</t>
  </si>
  <si>
    <t>19,2021-08-21,18:30,Vandalismo,Cerro de las Rosas,26/06/1995,Masculino,2,23/07/1979,Masculino,2,No,Arma blanca,Por vínculo,No aplica,No,Sí,En investigación,No aplica</t>
  </si>
  <si>
    <t>20,2017-01-01,16:42,Homicidio,San Vicente,14/10/2004,Masculino,2,02/02/1979,Masculino,2,Sí,No aplica,No aplica,Cuentas falsas,Sí,Sí,En investigación,15</t>
  </si>
  <si>
    <t>21,2016-04-13,13:56,Narcotráfico,Cerro de las Rosas,25/10/1967,Femenino,5,14/12/1962,Masculino,3,No,No aplica,Sin agravantes,No aplica,No,No,Cerrado,No aplica</t>
  </si>
  <si>
    <t>22,2020-09-12,14:09,Narcotráfico,Jardín Espinosa,28/03/2003,Masculino,3,23/05/2002,Masculino,1,No,No aplica,No aplica,Lavado de dinero,Sí,Sí,Abierto,No aplica</t>
  </si>
  <si>
    <t>23,2022-08-16,20:10,Robo,Nueva Córdoba,16/07/1980,Masculino,5,03/01/1963,Masculino,1,No,No aplica,No aplica,No aplica,No,No,Cerrado,No aplica</t>
  </si>
  <si>
    <t>24,2022-05-04,16:26,Hurto,Jardín Espinosa,11/12/1965,Masculino,3,24/04/1949,Femenino,2,No,No aplica,No aplica,Cuentas falsas,No,No,Abierto,No aplica</t>
  </si>
  <si>
    <t>25,2015-07-16,9:47,Secuestro,Argüello,19/06/1973,Masculino,5,04/12/1972,Femenino,1,Sí,No aplica,No aplica,Vidrios de comercio rotos,No,Sí,En investigación,208</t>
  </si>
  <si>
    <t>26,2023-04-03,23:09,Robo,Nueva Córdoba,25/01/1956,Femenino,1,26/04/1999,Femenino,3,Sí,No aplica,Por vínculo,No aplica,No,Sí,Abierto,58</t>
  </si>
  <si>
    <t>27,2017-04-13,19:20,Amenazas,Pueyrredón,09/11/1980,Masculino,2,21/01/1998,Masculino,2,Sí,No aplica,No aplica,Cartera con documentación,No,No,Cerrado,67</t>
  </si>
  <si>
    <t>28,2021-05-04,21:06,Amenazas,San Vicente,09/05/1958,Femenino,4,09/09/1976,Femenino,1,Sí,Arma de fuego,No aplica,Laptop marca HP,No,No,Cerrado,291</t>
  </si>
  <si>
    <t>29,2022-07-10,22:54,Delitos financieros,Pueyrredón,19/07/1995,Masculino,4,10/05/2012,Femenino,2,No,No aplica,No aplica,Ropa de marca,Sí,No,Cerrado,No aplica</t>
  </si>
  <si>
    <t>30,2023-03-13,20:50,Fraude,Villa El Libertador,08/07/1973,Femenino,3,09/04/1998,Masculino,1,No,No aplica,No aplica,Cartera con documentación,Sí,No,Cerrado,No aplica</t>
  </si>
  <si>
    <t>31,2024-11-13,15:55,Violencia de género,Centro,07/03/1956,Masculino,5,11/09/1996,Femenino,1,Sí,No aplica,No aplica,Evasión fiscal,Sí,No,Abierto,79</t>
  </si>
  <si>
    <t>32,2020-03-28,16:56,Vandalismo,Jardín Espinosa,18/06/1989,Masculino,3,22/06/1991,Femenino,1,No,No aplica,Alevosía,No aplica,Sí,No,Cerrado,No aplica</t>
  </si>
  <si>
    <t>33,2019-02-03,19:54,Corrupción,General Paz,20/01/1951,Masculino,2,22/05/1980,Femenino,2,Sí,Objeto contundente,Con ensañamiento,No aplica,No,No,Cerrado,34</t>
  </si>
  <si>
    <t>34,2018-02-07,21:05,Corrupción,Argüello,28/06/1971,Femenino,1,04/07/1948,Masculino,2,No,Objeto contundente,Sin agravantes,No aplica,No,No,Abierto,No aplica</t>
  </si>
  <si>
    <t>35,2019-06-15,23:30,Hurto,Argüello,01/03/1976,Masculino,5,13/06/2011,Femenino,1,Sí,Objeto contundente,Con ensañamiento,No aplica,Sí,No,Cerrado,152</t>
  </si>
  <si>
    <t>36,2017-05-25,8:52,Corrupción,Argüello,25/06/2000,Femenino,3,14/02/1940,Femenino,2,No,No aplica,No aplica,Plantas de marihuana,Sí,No,En investigación,No aplica</t>
  </si>
  <si>
    <t>37,2019-08-12,20:20,Hurto,Argüello,23/09/1950,Masculino,3,05/11/2003,Masculino,1,Sí,No aplica,No aplica,Cartera con documentación,No,Sí,Cerrado,272</t>
  </si>
  <si>
    <t>38,2020-09-03,22:38,Narcotráfico,IPV Argüello,04/05/1972,Femenino,3,19/07/1979,Masculino,2,No,Arma de fuego,Alevosía,No aplica,No,No,Cerrado,No aplica</t>
  </si>
  <si>
    <t>39,2015-06-27,14:27,Fraude,IPV Argüello,15/09/2001,Masculino,4,27/07/1949,Femenino,1,Sí,No aplica,No aplica,Estafa bancaria,No,No,Cerrado,42</t>
  </si>
  <si>
    <t>40,2024-03-12,12:46,Violación,Pueyrredón,27/07/2003,Masculino,4,22/12/1981,Femenino,1,Sí,No aplica,No aplica,Dinero público desviado,No,No,En investigación,216</t>
  </si>
  <si>
    <t>41,2022-11-15,22:32,Amenazas,Jardín Espinosa,03/08/2004,Femenino,3,01/07/2014,Masculino,3,No,Sin arma,Por vínculo,No aplica,No,No,Cerrado,No aplica</t>
  </si>
  <si>
    <t>42,2023-06-23,19:38,Delitos financieros,Argüello,10/12/1983,Masculino,5,13/03/1944,Femenino,2,Sí,Objeto contundente,Con ensañamiento,No aplica,Sí,No,Cerrado,154</t>
  </si>
  <si>
    <t>43,2015-12-18,15:29,Hurto,San Vicente,13/06/1986,Femenino,1,01/01/1947,Femenino,1,Sí,No aplica,No aplica,Cuentas falsas,Sí,Sí,Cerrado,181</t>
  </si>
  <si>
    <t>44,2017-06-25,10:06,Secuestro,Villa El Libertador,28/01/1952,Femenino,1,18/09/1962,Masculino,2,Sí,No aplica,No aplica,Plantas de marihuana,Sí,Sí,Cerrado,187</t>
  </si>
  <si>
    <t>45,2015-03-30,14:31,Secuestro,Alta Córdoba,13/02/1983,Femenino,5,17/11/1950,Masculino,2,No,No aplica,No aplica,Cuentas falsas,No,Sí,Abierto,No aplica</t>
  </si>
  <si>
    <t>46,2015-05-30,23:33,Violencia de género,Villa El Libertador,12/08/1960,Masculino,3,19/02/1971,Masculino,1,Sí,No aplica,No aplica,Ropa de marca,Sí,Sí,Abierto,107</t>
  </si>
  <si>
    <t>47,2016-07-25,12:19,Corrupción,Jardín Espinosa,22/05/2004,Femenino,5,05/11/2006,Masculino,1,Sí,No aplica,No aplica,Dinero público desviado,No,Sí,Cerrado,172</t>
  </si>
  <si>
    <t>48,2020-08-06,3:17,Hurto,Nueva Córdoba,27/06/2000,Femenino,4,07/10/1970,Masculino,2,No,No aplica,Alevosía,No aplica,No,Sí,En investigación,No aplica</t>
  </si>
  <si>
    <t>49,2019-07-23,11:31,Hurto,San Vicente,19/10/2002,Femenino,2,17/03/1952,Femenino,3,Sí,No aplica,No aplica,Dinero público desviado,Sí,No,En investigación,297</t>
  </si>
  <si>
    <t>50,2020-11-15,11:05,Robo,Centro,04/01/1954,Masculino,3,13/07/1958,Femenino,3,Sí,No aplica,No aplica,Dinero público desviado,Sí,No,Abierto,41</t>
  </si>
  <si>
    <t>51,2021-10-05,23:12,Vandalismo,Argüello,21/01/1983,Masculino,2,05/08/2002,Masculino,2,No,No aplica,No aplica,Celular,Sí,No,Cerrado,No aplica</t>
  </si>
  <si>
    <t>52,2023-05-18,20:19,Amenazas,Alberdi,22/11/1982,Masculino,5,08/05/1945,Femenino,1,Sí,Arma blanca,No aplica,"Auto modelo XXX, patente XXX XXX",No,No,Cerrado,270</t>
  </si>
  <si>
    <t>53,2019-10-10,22:40,Narcotráfico,San Vicente,04/10/2001,Masculino,2,14/10/1992,Masculino,1,No,Arma de fuego,No aplica,"Billetera con $15,000 ARG",No,No,Cerrado,No aplica</t>
  </si>
  <si>
    <t>54,2021-10-21,22:45,Corrupción,Centro,02/02/1957,Femenino,5,11/06/1991,Femenino,1,No,Arma blanca,No aplica,Laptop marca HP,No,Sí,Cerrado,No aplica</t>
  </si>
  <si>
    <t>55,2021-05-10,17:43,Homicidio,Argüello,02/05/1970,Femenino,5,22/05/1948,Masculino,2,No,No aplica,No aplica,Dinero público desviado,No,Sí,Abierto,No aplica</t>
  </si>
  <si>
    <t>56,2015-01-12,10:42,Vandalismo,Alta Córdoba,08/08/1960,Masculino,2,20/12/2004,Femenino,1,Sí,No aplica,No aplica,Lavado de dinero,No,Sí,Cerrado,150</t>
  </si>
  <si>
    <t>57,2016-05-28,18:33,Amenazas,General Paz,04/07/1965,Femenino,2,21/08/1993,Masculino,1,No,Sin arma,Sin agravantes,No aplica,No,Sí,Cerrado,No aplica</t>
  </si>
  <si>
    <t>58,2020-10-12,21:08,Fraude,General Paz,26/09/1966,Masculino,2,04/03/1967,Femenino,1,Sí,Arma de fuego,Alevosía,No aplica,Sí,No,En investigación,133</t>
  </si>
  <si>
    <t>59,2021-05-21,15:34,Violación,Jardín Espinosa,26/08/1970,Femenino,1,02/03/1977,Femenino,1,Sí,No aplica,No aplica,No aplica,No,No,Cerrado,69</t>
  </si>
  <si>
    <t>60,2020-05-03,19:33,Vandalismo,Jardín Espinosa,22/03/2001,Masculino,4,16/05/1944,Masculino,2,Sí,No aplica,No aplica,No aplica,No,No,Cerrado,96</t>
  </si>
  <si>
    <t>61,2015-01-13,6:17,Homicidio,Argüello,18/02/1982,Masculino,1,19/12/1989,Femenino,1,No,No aplica,No aplica,Grafitis en edificios públicos,No,Sí,Abierto,No aplica</t>
  </si>
  <si>
    <t>62,2020-12-29,15:38,Homicidio,Alta Córdoba,17/08/1952,Masculino,4,14/07/2008,Masculino,1,No,No aplica,No aplica,Cuentas falsas,No,No,Abierto,No aplica</t>
  </si>
  <si>
    <t>63,2015-03-25,10:09,Robo,General Paz,01/04/1953,Masculino,5,24/06/1988,Femenino,2,Sí,No aplica,No aplica,5kg de cocaína,Sí,Sí,Cerrado,69</t>
  </si>
  <si>
    <t>64,2024-06-20,12:43,Vandalismo,Alta Córdoba,10/07/1969,Masculino,3,11/10/1985,Femenino,3,No,No aplica,No aplica,Vidrios de comercio rotos,No,No,Cerrado,No aplica</t>
  </si>
  <si>
    <t>65,2017-09-01,6:19,Narcotráfico,General Paz,10/07/1996,Masculino,1,28/10/1942,Femenino,1,Sí,No aplica,No aplica,Grafitis en edificios públicos,No,Sí,Cerrado,228</t>
  </si>
  <si>
    <t>66,2022-05-16,10:26,Amenazas,Alta Córdoba,28/02/1964,Masculino,5,27/02/1999,Masculino,2,No,No aplica,Alevosía,No aplica,Sí,No,Cerrado,No aplica</t>
  </si>
  <si>
    <t>67,2019-09-17,12:01,Corrupción,Centro,25/11/2006,Femenino,3,19/09/1999,Femenino,2,Sí,No aplica,No aplica,5kg de cocaína,No,No,Cerrado,52</t>
  </si>
  <si>
    <t>68,2022-09-25,10:25,Hurto,Argüello,07/05/2005,Masculino,1,21/07/2003,Masculino,1,No,No aplica,No aplica,Lavado de dinero,No,No,En investigación,No aplica</t>
  </si>
  <si>
    <t>69,2022-04-28,19:22,Narcotráfico,Alberdi,11/01/1981,Femenino,1,25/01/1952,Masculino,3,No,No aplica,No aplica,5kg de cocaína,No,No,En investigación,No aplica</t>
  </si>
  <si>
    <t>70,2017-08-05,5:32,Robo,General Paz,10/06/1994,Masculino,1,18/08/2014,Masculino,2,Sí,No aplica,No aplica,Plantas de marihuana,Sí,No,Cerrado,188</t>
  </si>
  <si>
    <t>71,2015-06-05,23:07,Hurto,Cerro de las Rosas,13/09/1956,Masculino,2,26/03/1953,Masculino,2,Sí,Arma de fuego,No aplica,"Auto modelo XXX, patente XXX XXX",No,Sí,Cerrado,35</t>
  </si>
  <si>
    <t>72,2015-01-04,21:00,Vandalismo,IPV Argüello,24/09/1990,Masculino,1,09/02/1957,Masculino,1,No,Arma blanca,No aplica,"Celular, tarjetas bancarias",No,No,Cerrado,No aplica</t>
  </si>
  <si>
    <t>73,2015-09-09,11:54,Corrupción,Cerro de las Rosas,20/08/1978,Femenino,1,03/03/1998,Femenino,3,Sí,No aplica,No aplica,Grafitis en edificios públicos,No,Sí,Cerrado,22</t>
  </si>
  <si>
    <t>74,2024-05-02,10:56,Vandalismo,IPV Argüello,08/06/1964,Masculino,3,10/05/2004,Masculino,3,Sí,No aplica,No aplica,Contrato fraudulento,No,Sí,Cerrado,88</t>
  </si>
  <si>
    <t>75,2024-12-23,12:26,Violencia de género,Alta Córdoba,19/06/1951,Masculino,5,06/08/2015,Masculino,1,Sí,No aplica,No aplica,Evasión fiscal,No,Sí,Abierto,236</t>
  </si>
  <si>
    <t>76,2020-07-05,22:49,Delitos financieros,IPV Argüello,05/08/1977,Femenino,4,16/08/1954,Masculino,3,Sí,No aplica,Alevosía,No aplica,Sí,Sí,Abierto,218</t>
  </si>
  <si>
    <t>77,2024-11-02,13:25,Amenazas,Jardín Espinosa,18/01/1976,Femenino,5,11/05/1945,Masculino,2,No,No aplica,No aplica,Evasión fiscal,No,No,Abierto,No aplica</t>
  </si>
  <si>
    <t>78,2023-07-15,13:54,Vandalismo,Nueva Córdoba,15/05/1974,Masculino,5,02/07/1991,Masculino,2,No,No aplica,No aplica,Evasión fiscal,No,No,Abierto,No aplica</t>
  </si>
  <si>
    <t>79,2023-04-02,18:15,Hurto,Alberdi,26/06/2002,Femenino,4,11/11/1985,Femenino,3,No,No aplica,No aplica,Pasta base,No,Sí,Cerrado,No aplica</t>
  </si>
  <si>
    <t>80,2021-08-05,3:35,Delitos financieros,Pueyrredón,10/11/1963,Femenino,3,19/03/2011,Masculino,1,No,No aplica,No aplica,Pasta base,No,Sí,Cerrado,No aplica</t>
  </si>
  <si>
    <t>81,2018-11-20,0:37,Corrupción,San Vicente,03/06/1996,Femenino,5,23/11/1947,Masculino,3,No,No aplica,No aplica,No aplica,Sí,Sí,En investigación,No aplica</t>
  </si>
  <si>
    <t>82,2024-04-26,13:57,Secuestro,San Vicente,07/10/2002,Masculino,4,16/07/1945,Femenino,3,Sí,No aplica,No aplica,Contrato fraudulento,No,No,Abierto,118</t>
  </si>
  <si>
    <t>83,2023-01-16,9:34,Amenazas,Cerro de las Rosas,12/09/1963,Masculino,2,12/11/1999,Masculino,1,No,No aplica,No aplica,Lavado de dinero,No,Sí,Cerrado,No aplica</t>
  </si>
  <si>
    <t>84,2018-01-25,14:44,Hurto,Alta Córdoba,21/06/1971,Masculino,1,12/09/2004,Masculino,2,Sí,No aplica,No aplica,Evasión fiscal,No,Sí,Abierto,181</t>
  </si>
  <si>
    <t>85,2022-08-20,6:25,Homicidio,San Vicente,21/01/1961,Femenino,3,25/12/1946,Masculino,1,No,No aplica,No aplica,Grafitis en edificios públicos,No,No,Cerrado,No aplica</t>
  </si>
  <si>
    <t>86,2019-01-07,20:36,Secuestro,Jardín Espinosa,28/04/1976,Masculino,3,05/05/1966,Femenino,2,Sí,Sin arma,Con ensañamiento,No aplica,No,No,Cerrado,134</t>
  </si>
  <si>
    <t>87,2019-03-16,12:13,Violencia de género,General Paz,25/05/2002,Masculino,4,14/07/1946,Masculino,3,No,No aplica,No aplica,Cuentas falsas,No,Sí,En investigación,No aplica</t>
  </si>
  <si>
    <t>88,2019-09-27,23:59,Violación,Pueyrredón,13/04/1978,Femenino,1,17/09/1990,Femenino,3,No,Arma blanca,No aplica,"Billetera con $15,000 ARG",No,No,Cerrado,No aplica</t>
  </si>
  <si>
    <t>89,2023-05-15,15:37,Homicidio,IPV Argüello,07/02/1982,Masculino,5,19/01/1953,Masculino,2,No,No aplica,No aplica,Lavado de dinero,No,Sí,Cerrado,No aplica</t>
  </si>
  <si>
    <t>90,2024-09-15,16:15,Fraude,Centro,17/03/1991,Masculino,1,17/01/1990,Masculino,3,Sí,No aplica,No aplica,Cuentas falsas,Sí,No,Abierto,264</t>
  </si>
  <si>
    <t>91,2022-09-05,15:49,Homicidio,Villa El Libertador,03/03/2003,Masculino,4,11/08/1986,Femenino,2,Sí,No aplica,No aplica,Grafitis en edificios públicos,No,No,En investigación,208</t>
  </si>
  <si>
    <t>92,2023-07-06,19:11,Delitos financieros,Argüello,17/07/1957,Femenino,4,01/04/2015,Masculino,1,No,No aplica,No aplica,No aplica,No,No,En investigación,No aplica</t>
  </si>
  <si>
    <t>93,2017-10-12,9:39,Delitos financieros,IPV Argüello,12/03/2003,Masculino,1,12/05/2012,Masculino,1,Sí,No aplica,No aplica,Contrato fraudulento,No,No,Cerrado,129</t>
  </si>
  <si>
    <t>94,2023-10-18,11:29,Corrupción,Nueva Córdoba,25/12/1992,Femenino,2,01/03/1976,Masculino,2,Sí,No aplica,No aplica,Estafa bancaria,Sí,Sí,Cerrado,94</t>
  </si>
  <si>
    <t>95,2015-11-16,5:12,Fraude,Jardín Espinosa,15/08/1973,Femenino,2,14/09/1953,Femenino,1,Sí,No aplica,Con ensañamiento,No aplica,No,No,Cerrado,113</t>
  </si>
  <si>
    <t>96,2020-01-09,23:21,Narcotráfico,San Vicente,18/08/1982,Masculino,2,27/12/2000,Femenino,2,No,Arma de fuego,Sin agravantes,No aplica,No,Sí,Cerrado,No aplica</t>
  </si>
  <si>
    <t>97,2022-08-12,19:24,Fraude,Alberdi,24/04/1984,Masculino,4,14/02/1948,Masculino,1,Sí,No aplica,No aplica,Cartera con documentación,Sí,No,En investigación,116</t>
  </si>
  <si>
    <t>98,2015-05-24,18:38,Fraude,Alberdi,15/02/1985,Masculino,1,01/02/2004,Femenino,1,Sí,No aplica,No aplica,Pasta base,Sí,Sí,En investigación,215</t>
  </si>
  <si>
    <t>99,2021-08-26,0:18,Violencia de género,Centro,16/11/2006,Masculino,5,20/06/1961,Masculino,2,No,No aplica,Sin agravantes,No aplica,Sí,No,Cerrado,No aplica</t>
  </si>
  <si>
    <t>100,2018-09-18,19:05,Narcotráfico,Villa El Libertador,13/03/1954,Femenino,3,20/05/1997,Femenino,3,No,Objeto contundente,No aplica,"Auto modelo XXX, patente XXX XXX",No,No,Cerrado,No aplica</t>
  </si>
  <si>
    <t>101,2019-05-01,23:50,Robo,Argüello,28/01/1993,Masculino,4,05/10/2001,Femenino,3,Sí,No aplica,No aplica,5kg de cocaína,Sí,Sí,Cerrado,62</t>
  </si>
  <si>
    <t>102,2016-11-26,12:10,Hurto,IPV Argüello,17/10/1977,Masculino,4,25/07/2006,Femenino,2,No,No aplica,No aplica,Evasión fiscal,Sí,No,Cerrado,No aplica</t>
  </si>
  <si>
    <t>103,2023-10-13,8:17,Homicidio,Jardín Espinosa,02/11/1999,Masculino,4,01/05/1986,Masculino,1,No,No aplica,Alevosía,No aplica,No,Sí,Abierto,No aplica</t>
  </si>
  <si>
    <t>104,2016-09-26,17:58,Hurto,Argüello,06/01/1992,Femenino,4,01/08/1998,Femenino,1,Sí,No aplica,No aplica,Contrato fraudulento,No,No,En investigación,200</t>
  </si>
  <si>
    <t>105,2020-05-17,11:08,Violación,Pueyrredón,12/03/2003,Masculino,4,20/02/1973,Femenino,3,Sí,No aplica,No aplica,Estafa bancaria,Sí,No,Abierto,45</t>
  </si>
  <si>
    <t>106,2024-12-02,12:00,Robo,Alberdi,28/07/1971,Femenino,1,15/10/1945,Masculino,1,Sí,No aplica,No aplica,Estafa bancaria,Sí,Sí,Cerrado,136</t>
  </si>
  <si>
    <t>107,2020-02-12,20:28,Amenazas,General Paz,12/05/1982,Femenino,5,12/05/1957,Femenino,1,Sí,No aplica,Por vínculo,No aplica,No,Sí,Cerrado,65</t>
  </si>
  <si>
    <t>108,2024-11-17,20:30,Narcotráfico,Pueyrredón,18/02/1990,Masculino,2,07/11/1944,Masculino,1,No,No aplica,No aplica,Ropa de marca,Sí,No,Cerrado,No aplica</t>
  </si>
  <si>
    <t>109,2019-05-01,14:30,Corrupción,IPV Argüello,23/08/1992,Masculino,4,11/02/1951,Femenino,1,No,No aplica,No aplica,Vidrios de comercio rotos,No,No,Abierto,No aplica</t>
  </si>
  <si>
    <t>110,2024-03-03,13:37,Vandalismo,Alberdi,07/06/1952,Femenino,5,09/11/1972,Masculino,2,Sí,No aplica,No aplica,Pasta base,No,Sí,Cerrado,69</t>
  </si>
  <si>
    <t>111,2016-10-03,17:11,Vandalismo,IPV Argüello,28/03/1992,Femenino,5,28/10/1969,Masculino,2,Sí,No aplica,No aplica,Contrato fraudulento,No,No,Abierto,75</t>
  </si>
  <si>
    <t>112,2023-11-18,1:48,Narcotráfico,Villa El Libertador,17/12/1950,Masculino,4,26/07/1950,Masculino,2,Sí,No aplica,No aplica,No aplica,No,Sí,Cerrado,298</t>
  </si>
  <si>
    <t>113,2019-04-02,5:25,Secuestro,Jardín Espinosa,24/06/1960,Masculino,2,16/06/2004,Femenino,2,Sí,No aplica,No aplica,Grafitis en edificios públicos,No,Sí,Cerrado,30</t>
  </si>
  <si>
    <t>114,2021-12-21,21:10,Secuestro,Pueyrredón,21/04/1995,Femenino,5,10/01/1997,Femenino,2,Sí,No aplica,No aplica,Celular,No,No,Cerrado,97</t>
  </si>
  <si>
    <t>115,2023-02-02,22:11,Vandalismo,Pueyrredón,20/12/1978,Masculino,2,03/05/1995,Femenino,3,No,Objeto contundente,Sin agravantes,No aplica,No,No,Abierto,No aplica</t>
  </si>
  <si>
    <t>116,2016-09-16,6:55,Violación,Jardín Espinosa,01/11/1995,Femenino,4,27/08/1980,Masculino,3,Sí,No aplica,No aplica,Vidrios de comercio rotos,No,Sí,Cerrado,248</t>
  </si>
  <si>
    <t>117,2018-11-08,19:41,Delitos financieros,Alberdi,24/11/2004,Masculino,4,24/03/1946,Masculino,2,No,Arma blanca,Por vínculo,No aplica,Sí,No,Abierto,No aplica</t>
  </si>
  <si>
    <t>118,2019-05-08,17:25,Delitos financieros,Alta Córdoba,08/03/1974,Masculino,5,05/02/1968,Femenino,3,No,No aplica,No aplica,Contrato fraudulento,Sí,No,Cerrado,No aplica</t>
  </si>
  <si>
    <t>119,2015-07-14,15:16,Hurto,Argüello,27/05/1954,Femenino,2,07/01/1946,Masculino,2,No,No aplica,No aplica,Cuentas falsas,No,No,En investigación,No aplica</t>
  </si>
  <si>
    <t>120,2021-03-03,1:45,Violencia de género,Alberdi,24/08/1986,Masculino,5,15/03/1956,Femenino,1,No,No aplica,No aplica,No aplica,Sí,Sí,En investigación,No aplica</t>
  </si>
  <si>
    <t>121,2018-07-23,17:29,Amenazas,Cerro de las Rosas,04/02/1961,Femenino,1,03/11/2011,Masculino,3,No,No aplica,No aplica,Dinero público desviado,No,Sí,Abierto,No aplica</t>
  </si>
  <si>
    <t>122,2023-01-24,15:56,Delitos financieros,Nueva Córdoba,28/05/1971,Femenino,1,16/01/1965,Femenino,1,No,No aplica,Por vínculo,No aplica,Sí,No,Abierto,No aplica</t>
  </si>
  <si>
    <t>123,2019-01-14,21:58,Vandalismo,Alta Córdoba,11/02/1955,Masculino,4,14/11/1962,Femenino,2,Sí,Objeto contundente,Por vínculo,No aplica,No,No,Cerrado,47</t>
  </si>
  <si>
    <t>124,2021-10-01,15:41,Violencia de género,Argüello,19/08/1985,Masculino,2,17/12/1986,Femenino,2,No,No aplica,No aplica,Lavado de dinero,Sí,Sí,Cerrado,No aplica</t>
  </si>
  <si>
    <t>125,2018-03-21,22:12,Narcotráfico,Villa El Libertador,23/02/1979,Masculino,5,13/12/2005,Femenino,1,No,Objeto contundente,Sin agravantes,No aplica,Sí,No,Abierto,No aplica</t>
  </si>
  <si>
    <t>126,2024-10-12,16:12,Violación,Pueyrredón,22/10/1975,Masculino,2,03/06/1967,Masculino,3,Sí,No aplica,No aplica,Vidrios de comercio rotos,Sí,Sí,Abierto,222</t>
  </si>
  <si>
    <t>127,2017-10-18,20:23,Narcotráfico,Alta Córdoba,27/08/1993,Masculino,3,22/05/1967,Femenino,2,No,No aplica,No aplica,Bicicleta,No,Sí,Abierto,No aplica</t>
  </si>
  <si>
    <t>128,2020-02-27,18:18,Violencia de género,IPV Argüello,08/03/1994,Masculino,4,23/04/1945,Masculino,1,Sí,No aplica,No aplica,Bicicleta,Sí,No,Abierto,187</t>
  </si>
  <si>
    <t>129,2019-07-02,18:08,Secuestro,General Paz,23/07/1991,Femenino,1,28/02/1941,Masculino,2,No,No aplica,Por vínculo,No aplica,No,Sí,Abierto,No aplica</t>
  </si>
  <si>
    <t>130,2017-11-19,19:47,Hurto,IPV Argüello,03/05/1990,Femenino,5,22/08/1946,Femenino,2,Sí,No aplica,No aplica,Ropa de marca,Sí,Sí,Abierto,73</t>
  </si>
  <si>
    <t>131,2023-05-18,12:00,Robo,Argüello,13/05/1961,Femenino,5,01/05/1945,Masculino,1,No,No aplica,No aplica,Evasión fiscal,No,No,Cerrado,No aplica</t>
  </si>
  <si>
    <t>132,2021-05-12,13:05,Delitos financieros,Nueva Córdoba,06/03/1978,Femenino,5,12/04/2001,Masculino,2,Sí,No aplica,No aplica,Evasión fiscal,Sí,No,Cerrado,228</t>
  </si>
  <si>
    <t>133,2018-03-28,20:03,Delitos financieros,Alberdi,12/06/1957,Masculino,3,28/06/1963,Masculino,1,Sí,Arma de fuego,Alevosía,No aplica,No,No,Abierto,33</t>
  </si>
  <si>
    <t>134,2020-01-24,23:21,Amenazas,Jardín Espinosa,03/11/1980,Femenino,2,13/11/1957,Femenino,2,Sí,Sin arma,Por vínculo,No aplica,Sí,No,Cerrado,130</t>
  </si>
  <si>
    <t>135,2016-06-16,4:44,Delitos financieros,IPV Argüello,21/06/1982,Masculino,4,13/10/2008,Femenino,3,Sí,No aplica,No aplica,Vidrios de comercio rotos,No,No,Cerrado,244</t>
  </si>
  <si>
    <t>136,2019-03-06,10:46,Narcotráfico,General Paz,26/05/1977,Masculino,1,13/06/2013,Masculino,1,No,No aplica,No aplica,Cuentas falsas,Sí,Sí,Abierto,No aplica</t>
  </si>
  <si>
    <t>137,2022-10-18,4:50,Amenazas,Cerro de las Rosas,24/11/1986,Femenino,5,05/10/1991,Masculino,2,Sí,No aplica,No aplica,Grafitis en edificios públicos,Sí,No,Cerrado,86</t>
  </si>
  <si>
    <t>138,2018-05-23,22:41,Homicidio,Jardín Espinosa,15/08/1965,Masculino,5,13/02/1946,Masculino,2,Sí,No aplica,Por vínculo,No aplica,No,Sí,En investigación,153</t>
  </si>
  <si>
    <t>139,2019-10-20,21:40,Delitos financieros,Alberdi,09/12/1951,Femenino,3,26/08/2008,Femenino,3,No,Objeto contundente,Alevosía,No aplica,No,No,En investigación,No aplica</t>
  </si>
  <si>
    <t>140,2024-05-20,16:07,Secuestro,San Vicente,17/05/1964,Masculino,3,03/03/2006,Femenino,1,Sí,No aplica,No aplica,5kg de cocaína,No,Sí,Abierto,23</t>
  </si>
  <si>
    <t>141,2023-05-27,16:37,Robo,Villa El Libertador,05/07/1980,Masculino,5,02/05/1949,Masculino,1,Sí,No aplica,No aplica,No aplica,No,No,Abierto,256</t>
  </si>
  <si>
    <t>142,2016-06-17,7:43,Violencia de género,Argüello,02/01/1992,Masculino,4,08/10/1978,Femenino,2,Sí,No aplica,No aplica,No aplica,No,No,Cerrado,119</t>
  </si>
  <si>
    <t>143,2019-10-24,1:43,Narcotráfico,General Paz,12/03/1978,Masculino,5,14/12/2009,Femenino,3,Sí,No aplica,No aplica,No aplica,No,Sí,Cerrado,108</t>
  </si>
  <si>
    <t>144,2021-04-15,11:48,Homicidio,General Paz,28/05/2004,Femenino,4,01/03/2008,Masculino,1,Sí,No aplica,Por vínculo,No aplica,No,Sí,Cerrado,20</t>
  </si>
  <si>
    <t>145,2022-03-15,10:16,Fraude,Alta Córdoba,12/12/1987,Masculino,2,06/10/1989,Masculino,1,Sí,No aplica,No aplica,Grafitis en edificios públicos,Sí,No,Abierto,175</t>
  </si>
  <si>
    <t>146,2019-12-02,15:30,Corrupción,General Paz,07/04/1950,Femenino,1,24/01/1984,Femenino,2,No,No aplica,No aplica,Dinero público desviado,Sí,No,Cerrado,No aplica</t>
  </si>
  <si>
    <t>147,2021-07-26,5:14,Vandalismo,Villa El Libertador,23/08/2000,Femenino,4,12/08/1956,Femenino,2,No,No aplica,No aplica,Grafitis en edificios públicos,No,Sí,Abierto,No aplica</t>
  </si>
  <si>
    <t>148,2024-03-08,2:36,Fraude,Pueyrredón,20/06/1972,Femenino,1,18/10/2007,Femenino,2,Sí,No aplica,No aplica,No aplica,No,No,Abierto,151</t>
  </si>
  <si>
    <t>149,2017-01-02,17:13,Corrupción,Villa El Libertador,22/11/1984,Femenino,4,24/10/1941,Masculino,2,No,No aplica,No aplica,Estafa bancaria,No,No,Cerrado,No aplica</t>
  </si>
  <si>
    <t>150,2017-07-05,9:56,Robo,IPV Argüello,27/12/1967,Femenino,3,21/07/2013,Femenino,2,Sí,No aplica,No aplica,Contrato fraudulento,No,Sí,Cerrado,26</t>
  </si>
  <si>
    <t>151,2019-10-19,11:39,Hurto,Centro,19/12/2001,Femenino,3,25/06/1959,Masculino,1,Sí,No aplica,No aplica,No aplica,No,No,Cerrado,74</t>
  </si>
  <si>
    <t>152,2020-03-26,11:33,Robo,Argüello,14/11/1988,Masculino,4,09/10/1989,Femenino,1,No,No aplica,No aplica,Estafa bancaria,No,Sí,Abierto,No aplica</t>
  </si>
  <si>
    <t>153,2020-05-05,18:09,Vandalismo,Alta Córdoba,22/04/1959,Masculino,5,04/10/1970,Masculino,1,Sí,Objeto contundente,Sin agravantes,No aplica,Sí,No,Abierto,215</t>
  </si>
  <si>
    <t>154,2022-06-30,7:31,Narcotráfico,General Paz,09/09/1969,Femenino,3,20/12/1977,Masculino,3,No,No aplica,No aplica,Grafitis en edificios públicos,No,No,Cerrado,No aplica</t>
  </si>
  <si>
    <t>155,2017-10-10,4:43,Robo,San Vicente,10/07/1965,Masculino,1,16/02/1979,Femenino,2,No,No aplica,No aplica,Vidrios de comercio rotos,No,No,En investigación,No aplica</t>
  </si>
  <si>
    <t>156,2023-11-14,23:44,Corrupción,Alta Córdoba,03/07/2005,Femenino,4,18/01/1987,Femenino,1,Sí,No aplica,No aplica,Celular,No,No,Cerrado,15</t>
  </si>
  <si>
    <t>157,2022-11-08,17:52,Hurto,Alta Córdoba,17/05/1994,Femenino,5,27/02/1987,Masculino,3,Sí,No aplica,No aplica,Vidrios de comercio rotos,No,No,Abierto,240</t>
  </si>
  <si>
    <t>158,2015-03-02,22:53,Amenazas,San Vicente,11/06/1984,Femenino,1,08/08/1957,Masculino,1,No,Sin arma,No aplica,"Celular, tarjetas bancarias",No,No,Cerrado,No aplica</t>
  </si>
  <si>
    <t>159,2015-04-04,18:27,Vandalismo,Nueva Córdoba,24/12/1968,Femenino,3,19/12/1962,Femenino,3,Sí,No aplica,No aplica,5kg de cocaína,No,No,Abierto,67</t>
  </si>
  <si>
    <t>160,2016-09-27,3:19,Secuestro,IPV Argüello,05/10/1997,Femenino,3,25/11/2014,Femenino,1,No,No aplica,No aplica,Grafitis en edificios públicos,No,No,Abierto,No aplica</t>
  </si>
  <si>
    <t>161,2015-05-03,22:39,Violencia de género,Argüello,20/05/1988,Masculino,1,04/12/1964,Masculino,1,Sí,Objeto contundente,No aplica,"Billetera con $15,000 ARG",Sí,Sí,En investigación,208</t>
  </si>
  <si>
    <t>162,2018-06-12,10:54,Vandalismo,Jardín Espinosa,06/04/1954,Masculino,2,06/06/1959,Masculino,3,Sí,No aplica,No aplica,Cuentas falsas,No,Sí,Cerrado,166</t>
  </si>
  <si>
    <t>163,2024-11-14,9:10,Amenazas,Nueva Córdoba,22/11/2002,Femenino,4,21/09/1945,Femenino,3,No,No aplica,No aplica,Dinero público desviado,Sí,Sí,Abierto,No aplica</t>
  </si>
  <si>
    <t>164,2024-03-20,9:34,Narcotráfico,San Vicente,11/09/1989,Femenino,3,05/10/1958,Masculino,2,No,No aplica,No aplica,Lavado de dinero,No,Sí,Abierto,No aplica</t>
  </si>
  <si>
    <t>165,2023-08-04,10:30,Narcotráfico,Cerro de las Rosas,26/11/1987,Femenino,1,23/11/1944,Femenino,3,Sí,No aplica,No aplica,No aplica,No,No,Cerrado,108</t>
  </si>
  <si>
    <t>166,2024-05-20,10:52,Narcotráfico,Alta Córdoba,14/08/1964,Femenino,4,24/01/1949,Masculino,3,Sí,No aplica,No aplica,Evasión fiscal,No,No,Abierto,194</t>
  </si>
  <si>
    <t>167,2019-01-23,16:01,Secuestro,Pueyrredón,15/06/1978,Masculino,3,08/05/1942,Masculino,2,Sí,No aplica,No aplica,Vidrios de comercio rotos,No,No,Cerrado,87</t>
  </si>
  <si>
    <t>168,2022-08-13,19:46,Corrupción,Jardín Espinosa,16/01/1966,Femenino,1,07/07/1966,Femenino,1,No,No aplica,No aplica,Grafitis en edificios públicos,No,Sí,Abierto,No aplica</t>
  </si>
  <si>
    <t>169,2018-10-28,12:46,Violación,Cerro de las Rosas,26/05/1960,Femenino,1,09/10/1958,Masculino,2,No,No aplica,No aplica,Cuentas falsas,Sí,Sí,Abierto,No aplica</t>
  </si>
  <si>
    <t>170,2024-12-15,16:32,Narcotráfico,General Paz,23/12/1985,Femenino,5,16/09/1951,Femenino,2,No,No aplica,No aplica,Dinero público desviado,Sí,Sí,Cerrado,No aplica</t>
  </si>
  <si>
    <t>171,2017-05-20,12:49,Robo,Villa El Libertador,11/04/1964,Masculino,5,16/04/1994,Masculino,3,Sí,No aplica,Alevosía,No aplica,Sí,No,Cerrado,184</t>
  </si>
  <si>
    <t>172,2019-06-30,4:37,Hurto,Alberdi,12/12/1971,Masculino,2,15/08/1983,Femenino,2,Sí,No aplica,No aplica,Vidrios de comercio rotos,No,No,Cerrado,120</t>
  </si>
  <si>
    <t>173,2021-07-13,5:56,Homicidio,Argüello,22/10/2006,Masculino,1,12/10/1942,Femenino,2,No,No aplica,No aplica,No aplica,No,No,Cerrado,No aplica</t>
  </si>
  <si>
    <t>174,2024-05-29,15:44,Robo,Jardín Espinosa,05/12/2001,Masculino,4,24/11/1975,Femenino,1,Sí,No aplica,No aplica,Cuentas falsas,No,No,Cerrado,182</t>
  </si>
  <si>
    <t>175,2024-05-23,19:46,Delitos financieros,Argüello,19/04/1989,Masculino,5,23/07/1975,Femenino,1,Sí,No aplica,No aplica,Ropa de marca,No,No,En investigación,35</t>
  </si>
  <si>
    <t>176,2020-07-18,15:22,Narcotráfico,Cerro de las Rosas,26/12/1974,Masculino,1,16/11/1963,Masculino,3,Sí,No aplica,No aplica,Dinero público desviado,No,No,Cerrado,173</t>
  </si>
  <si>
    <t>177,2024-01-28,22:03,Secuestro,Pueyrredón,17/04/1954,Femenino,1,18/02/2012,Masculino,1,No,No aplica,No aplica,Cartera con documentación,No,No,Cerrado,No aplica</t>
  </si>
  <si>
    <t>178,2018-08-31,23:23,Corrupción,Alta Córdoba,18/08/1989,Femenino,1,26/02/1956,Masculino,3,Sí,No aplica,No aplica,Vidrios de comercio rotos,Sí,No,Cerrado,244</t>
  </si>
  <si>
    <t>179,2015-05-31,15:23,Secuestro,Villa El Libertador,12/08/1988,Masculino,1,16/11/1970,Masculino,1,No,No aplica,No aplica,Pasta base,No,Sí,Cerrado,No aplica</t>
  </si>
  <si>
    <t>180,2022-03-24,15:46,Amenazas,San Vicente,27/02/1972,Femenino,5,27/02/2005,Femenino,1,No,No aplica,No aplica,5kg de cocaína,No,No,Cerrado,No aplica</t>
  </si>
  <si>
    <t>181,2021-01-28,4:15,Violación,Nueva Córdoba,19/04/1955,Masculino,2,05/07/2001,Femenino,3,No,No aplica,Por vínculo,No aplica,Sí,Sí,En investigación,No aplica</t>
  </si>
  <si>
    <t>182,2022-01-15,4:05,Robo,Pueyrredón,24/08/1979,Femenino,3,11/06/2004,Femenino,3,Sí,No aplica,No aplica,Grafitis en edificios públicos,Sí,Sí,Cerrado,177</t>
  </si>
  <si>
    <t>183,2015-06-04,11:16,Amenazas,Alberdi,05/11/1979,Femenino,3,19/11/1978,Femenino,3,Sí,No aplica,No aplica,Lavado de dinero,No,No,Abierto,183</t>
  </si>
  <si>
    <t>184,2021-12-09,20:56,Homicidio,Villa El Libertador,28/08/1987,Femenino,2,11/09/2008,Masculino,3,No,No aplica,No aplica,No aplica,No,No,Cerrado,No aplica</t>
  </si>
  <si>
    <t>185,2018-03-08,18:13,Secuestro,General Paz,04/08/1990,Femenino,3,18/09/1977,Masculino,1,No,No aplica,No aplica,Pasta base,No,Sí,Abierto,No aplica</t>
  </si>
  <si>
    <t>186,2019-05-04,22:00,Vandalismo,IPV Argüello,25/08/1975,Femenino,2,08/12/1997,Masculino,3,No,No aplica,Sin agravantes,No aplica,No,No,Abierto,No aplica</t>
  </si>
  <si>
    <t>187,2023-12-04,23:16,Narcotráfico,Alta Córdoba,07/07/1963,Masculino,3,16/02/1974,Femenino,3,Sí,Arma blanca,No aplica,"Celular, tarjetas bancarias",No,No,Cerrado,257</t>
  </si>
  <si>
    <t>188,2024-07-02,23:31,Delitos financieros,Nueva Córdoba,23/05/1970,Femenino,4,05/09/2002,Masculino,1,Sí,No aplica,No aplica,Cartera con documentación,No,No,En investigación,197</t>
  </si>
  <si>
    <t>189,2016-10-22,23:08,Hurto,Cerro de las Rosas,18/02/1961,Masculino,1,20/01/1951,Femenino,1,No,Arma blanca,No aplica,Laptop marca HP,No,No,En investigación,No aplica</t>
  </si>
  <si>
    <t>190,2018-02-27,14:06,Vandalismo,Nueva Córdoba,09/07/1976,Femenino,1,11/04/1993,Masculino,2,Sí,No aplica,Alevosía,No aplica,No,No,Cerrado,22</t>
  </si>
  <si>
    <t>191,2017-04-17,9:55,Violencia de género,Alta Córdoba,16/05/1965,Femenino,2,17/11/2012,Masculino,1,No,No aplica,Con ensañamiento,No aplica,No,No,Cerrado,No aplica</t>
  </si>
  <si>
    <t>192,2020-05-07,19:09,Violación,Jardín Espinosa,18/05/1981,Masculino,1,26/04/1961,Masculino,3,Sí,No aplica,No aplica,No aplica,No,Sí,En investigación,144</t>
  </si>
  <si>
    <t>193,2018-10-21,1:56,Violación,Argüello,26/05/1991,Femenino,1,06/12/1959,Femenino,1,Sí,No aplica,No aplica,Pasta base,Sí,No,Cerrado,55</t>
  </si>
  <si>
    <t>194,2020-09-01,22:57,Corrupción,Nueva Córdoba,07/09/1972,Masculino,2,23/06/1980,Masculino,2,No,No aplica,No aplica,Vidrios de comercio rotos,Sí,No,Cerrado,No aplica</t>
  </si>
  <si>
    <t>195,2022-10-02,5:01,Hurto,Centro,21/06/1976,Masculino,3,09/01/1969,Femenino,1,No,No aplica,Alevosía,No aplica,Sí,Sí,Abierto,No aplica</t>
  </si>
  <si>
    <t>196,2024-09-03,13:24,Fraude,Argüello,24/04/1994,Masculino,4,05/09/1964,Masculino,1,Sí,No aplica,No aplica,Dinero público desviado,No,No,En investigación,62</t>
  </si>
  <si>
    <t>197,2016-06-08,2:55,Hurto,Jardín Espinosa,22/11/1969,Masculino,4,04/12/1994,Masculino,1,No,No aplica,No aplica,Grafitis en edificios públicos,No,Sí,Cerrado,No aplica</t>
  </si>
  <si>
    <t>198,2019-01-24,15:54,Delitos financieros,Argüello,15/09/1951,Femenino,5,07/05/1982,Masculino,2,No,No aplica,No aplica,Estafa bancaria,Sí,No,Abierto,No aplica</t>
  </si>
  <si>
    <t>199,2016-02-01,18:33,Hurto,Alberdi,02/05/1966,Masculino,1,22/06/1951,Masculino,1,No,Sin arma,No aplica,"Celular, tarjetas bancarias",Sí,No,Cerrado,No aplica</t>
  </si>
  <si>
    <t>200,2022-11-29,10:56,Fraude,San Vicente,02/07/1990,Masculino,1,02/07/1992,Masculino,2,Sí,No aplica,No aplica,Dinero público desviado,Sí,Sí,Cerrado,235</t>
  </si>
  <si>
    <t>201,2023-12-03,12:41,Corrupción,Alberdi,22/01/1965,Masculino,2,09/02/1965,Masculino,1,No,No aplica,No aplica,No aplica,No,No,En investigación,No aplica</t>
  </si>
  <si>
    <t>202,2016-05-17,2:05,Homicidio,Argüello,24/12/1999,Femenino,5,06/05/1982,Femenino,2,No,No aplica,No aplica,Pasta base,No,Sí,En investigación,No aplica</t>
  </si>
  <si>
    <t>203,2019-09-29,4:12,Narcotráfico,General Paz,09/11/1970,Masculino,4,13/03/1967,Masculino,2,Sí,No aplica,No aplica,Plantas de marihuana,Sí,No,Cerrado,45</t>
  </si>
  <si>
    <t>204,2023-08-24,23:25,Corrupción,Alta Córdoba,09/10/1973,Masculino,2,25/04/1993,Femenino,1,No,Objeto contundente,No aplica,Laptop marca HP,No,No,Cerrado,No aplica</t>
  </si>
  <si>
    <t>205,2018-02-06,7:51,Corrupción,General Paz,25/02/1966,Femenino,1,19/01/1998,Femenino,3,No,No aplica,No aplica,Vidrios de comercio rotos,Sí,No,En investigación,No aplica</t>
  </si>
  <si>
    <t>206,2015-09-11,18:31,Narcotráfico,Alberdi,12/10/1955,Masculino,4,08/11/1951,Femenino,1,Sí,Arma blanca,Sin agravantes,No aplica,No,No,En investigación,180</t>
  </si>
  <si>
    <t>207,2022-09-01,23:36,Narcotráfico,Pueyrredón,13/01/2001,Masculino,4,14/08/1966,Masculino,1,Sí,Sin arma,Por vínculo,No aplica,Sí,No,Cerrado,145</t>
  </si>
  <si>
    <t>208,2015-06-10,9:56,Hurto,General Paz,01/06/1958,Masculino,2,11/12/1985,Masculino,3,No,No aplica,No aplica,5kg de cocaína,No,No,Cerrado,No aplica</t>
  </si>
  <si>
    <t>209,2015-07-29,9:54,Narcotráfico,Jardín Espinosa,09/05/2006,Femenino,2,14/07/1982,Femenino,1,Sí,No aplica,No aplica,5kg de cocaína,No,Sí,En investigación,213</t>
  </si>
  <si>
    <t>210,2024-12-22,16:56,Amenazas,Villa El Libertador,16/10/1978,Masculino,2,16/08/2000,Masculino,1,Sí,No aplica,No aplica,Dinero público desviado,No,Sí,En investigación,77</t>
  </si>
  <si>
    <t>211,2022-03-09,16:06,Hurto,Pueyrredón,23/12/1994,Masculino,5,17/08/1958,Masculino,1,No,No aplica,No aplica,Contrato fraudulento,Sí,Sí,En investigación,No aplica</t>
  </si>
  <si>
    <t>212,2017-09-10,2:02,Delitos financieros,Villa El Libertador,28/10/1971,Femenino,2,21/12/1968,Femenino,3,Sí,No aplica,Sin agravantes,No aplica,Sí,No,En investigación,112</t>
  </si>
  <si>
    <t>213,2017-10-06,21:52,Secuestro,Jardín Espinosa,10/08/1957,Masculino,1,16/03/1977,Femenino,1,No,Arma blanca,Sin agravantes,No aplica,Sí,No,En investigación,No aplica</t>
  </si>
  <si>
    <t>214,2015-05-06,12:59,Homicidio,Villa El Libertador,17/05/1991,Masculino,4,27/10/2003,Masculino,2,No,No aplica,No aplica,Vidrios de comercio rotos,Sí,No,En investigación,No aplica</t>
  </si>
  <si>
    <t>215,2023-08-10,19:41,Homicidio,Argüello,13/08/2000,Femenino,3,12/08/1973,Masculino,1,Sí,Arma blanca,No aplica,"Auto modelo XXX, patente XXX XXX",No,No,En investigación,248</t>
  </si>
  <si>
    <t>216,2019-08-21,23:03,Secuestro,Pueyrredón,24/02/1980,Masculino,3,09/07/1998,Femenino,1,No,Objeto contundente,Alevosía,No aplica,No,Sí,En investigación,No aplica</t>
  </si>
  <si>
    <t>217,2016-04-12,10:10,Robo,Argüello,09/02/1989,Masculino,3,07/11/1950,Masculino,3,No,No aplica,No aplica,Contrato fraudulento,No,No,Abierto,No aplica</t>
  </si>
  <si>
    <t>218,2015-07-12,23:07,Corrupción,Centro,17/03/1987,Femenino,3,05/12/1996,Femenino,1,Sí,Arma blanca,No aplica,"Celular, tarjetas bancarias",Sí,Sí,Cerrado,115</t>
  </si>
  <si>
    <t>219,2020-05-18,9:58,Corrupción,Alta Córdoba,23/07/1990,Femenino,5,28/01/1944,Masculino,1,No,No aplica,No aplica,Dinero público desviado,Sí,Sí,Abierto,No aplica</t>
  </si>
  <si>
    <t>220,2018-05-26,22:09,Violencia de género,Alta Córdoba,16/11/1951,Femenino,5,28/01/1943,Femenino,1,Sí,No aplica,No aplica,Cartera con documentación,No,No,Abierto,191</t>
  </si>
  <si>
    <t>221,2023-07-16,19:07,Secuestro,Pueyrredón,18/03/1984,Masculino,5,27/01/1958,Masculino,3,Sí,No aplica,Por vínculo,No aplica,No,No,En investigación,111</t>
  </si>
  <si>
    <t>222,2019-04-04,0:26,Vandalismo,Alberdi,26/10/1966,Femenino,3,16/11/1969,Masculino,1,Sí,No aplica,Con ensañamiento,No aplica,No,No,Cerrado,214</t>
  </si>
  <si>
    <t>223,2021-06-14,22:45,Secuestro,Alta Córdoba,25/10/1977,Masculino,2,05/04/2007,Masculino,3,No,No aplica,No aplica,5kg de cocaína,No,No,Abierto,No aplica</t>
  </si>
  <si>
    <t>224,2023-10-31,18:48,Violación,Pueyrredón,13/03/1974,Masculino,4,19/11/1953,Masculino,2,No,Arma de fuego,Con ensañamiento,No aplica,No,No,Abierto,No aplica</t>
  </si>
  <si>
    <t>225,2024-01-14,3:37,Vandalismo,Alberdi,25/10/1953,Masculino,4,27/09/1956,Masculino,1,Sí,No aplica,Con ensañamiento,No aplica,Sí,No,Cerrado,162</t>
  </si>
  <si>
    <t>226,2018-01-28,15:32,Fraude,IPV Argüello,23/05/2005,Femenino,2,25/01/1950,Masculino,3,Sí,No aplica,No aplica,Evasión fiscal,Sí,No,Abierto,170</t>
  </si>
  <si>
    <t>227,2017-04-19,21:37,Fraude,Centro,17/10/1982,Masculino,5,17/12/2001,Masculino,2,No,No aplica,Alevosía,No aplica,No,No,Cerrado,No aplica</t>
  </si>
  <si>
    <t>228,2016-02-24,16:33,Homicidio,Alberdi,10/10/1991,Masculino,5,01/08/1945,Masculino,1,Sí,No aplica,No aplica,Estafa bancaria,Sí,No,Abierto,73</t>
  </si>
  <si>
    <t>229,2016-07-26,8:00,Delitos financieros,Cerro de las Rosas,27/04/1965,Masculino,2,27/09/1995,Masculino,2,Sí,No aplica,No aplica,Grafitis en edificios públicos,Sí,Sí,Cerrado,159</t>
  </si>
  <si>
    <t>230,2015-03-26,12:27,Homicidio,Argüello,22/10/1964,Masculino,4,06/11/2010,Femenino,1,No,No aplica,No aplica,Estafa bancaria,No,No,Cerrado,No aplica</t>
  </si>
  <si>
    <t>231,2017-09-08,21:08,Amenazas,IPV Argüello,04/02/1992,Masculino,2,26/07/1952,Femenino,1,No,Sin arma,Sin agravantes,No aplica,Sí,No,Abierto,No aplica</t>
  </si>
  <si>
    <t>232,2021-09-11,0:51,Homicidio,IPV Argüello,26/05/1952,Femenino,2,09/11/1976,Femenino,3,No,No aplica,Alevosía,No aplica,Sí,No,Cerrado,No aplica</t>
  </si>
  <si>
    <t>233,2022-01-05,6:16,Narcotráfico,General Paz,16/12/1979,Femenino,2,23/11/1960,Masculino,2,Sí,No aplica,No aplica,Pasta base,No,Sí,Abierto,6</t>
  </si>
  <si>
    <t>234,2019-03-29,7:25,Homicidio,San Vicente,18/11/1990,Femenino,5,14/08/2000,Femenino,1,No,No aplica,No aplica,5kg de cocaína,No,No,Cerrado,No aplica</t>
  </si>
  <si>
    <t>235,2017-04-12,23:13,Delitos financieros,Villa El Libertador,12/05/1978,Femenino,5,11/03/1940,Femenino,1,No,No aplica,No aplica,5kg de cocaína,No,Sí,En investigación,No aplica</t>
  </si>
  <si>
    <t>236,2022-06-20,15:41,Secuestro,Centro,21/09/1986,Masculino,5,09/09/1982,Masculino,3,Sí,No aplica,Por vínculo,No aplica,No,No,Cerrado,190</t>
  </si>
  <si>
    <t>237,2021-09-03,19:52,Fraude,Villa El Libertador,06/02/1978,Masculino,4,26/04/2006,Masculino,2,Sí,Objeto contundente,No aplica,"Billetera con $15,000 ARG",Sí,Sí,En investigación,197</t>
  </si>
  <si>
    <t>238,2017-04-06,1:32,Amenazas,Argüello,16/05/1968,Masculino,5,19/11/1973,Masculino,1,No,No aplica,No aplica,Grafitis en edificios públicos,No,Sí,Abierto,No aplica</t>
  </si>
  <si>
    <t>239,2024-02-24,23:21,Fraude,Alberdi,18/04/1979,Masculino,3,27/05/1956,Femenino,3,No,Arma de fuego,No aplica,"Auto modelo XXX, patente XXX XXX",Sí,No,En investigación,No aplica</t>
  </si>
  <si>
    <t>240,2020-03-21,18:52,Amenazas,Alta Córdoba,02/09/1985,Masculino,5,03/07/1984,Masculino,2,Sí,Sin arma,Por vínculo,No aplica,Sí,No,Cerrado,151</t>
  </si>
  <si>
    <t>241,2018-07-02,19:32,Secuestro,Argüello,09/03/1972,Femenino,4,12/01/1983,Femenino,2,Sí,Arma de fuego,No aplica,"Billetera con $15,000 ARG",No,Sí,En investigación,245</t>
  </si>
  <si>
    <t>242,2019-07-29,14:39,Violación,San Vicente,19/03/1985,Masculino,2,21/04/1977,Masculino,2,Sí,No aplica,No aplica,5kg de cocaína,No,No,En investigación,126</t>
  </si>
  <si>
    <t>243,2022-01-28,8:07,Homicidio,Centro,25/01/1985,Masculino,3,11/06/2015,Masculino,3,No,No aplica,No aplica,5kg de cocaína,Sí,No,Cerrado,No aplica</t>
  </si>
  <si>
    <t>244,2024-06-23,8:05,Delitos financieros,Centro,01/05/1964,Femenino,1,01/01/1945,Masculino,3,No,No aplica,No aplica,5kg de cocaína,No,No,Cerrado,No aplica</t>
  </si>
  <si>
    <t>245,2023-08-23,16:24,Vandalismo,Nueva Córdoba,08/06/1976,Femenino,1,05/10/1959,Femenino,2,Sí,No aplica,No aplica,Lavado de dinero,No,Sí,Abierto,219</t>
  </si>
  <si>
    <t>246,2015-01-02,10:47,Homicidio,Nueva Córdoba,25/05/2003,Masculino,2,27/06/1986,Masculino,3,Sí,No aplica,No aplica,Lavado de dinero,No,No,En investigación,184</t>
  </si>
  <si>
    <t>247,2019-06-09,13:27,Secuestro,San Vicente,11/06/2003,Masculino,3,12/03/1968,Masculino,1,Sí,No aplica,No aplica,Evasión fiscal,No,No,Abierto,64</t>
  </si>
  <si>
    <t>248,2023-07-29,17:29,Narcotráfico,Alberdi,04/12/1993,Femenino,1,18/04/1949,Masculino,1,No,No aplica,No aplica,Contrato fraudulento,No,No,Cerrado,No aplica</t>
  </si>
  <si>
    <t>249,2022-11-17,21:10,Robo,General Paz,14/12/1958,Masculino,2,21/10/1958,Masculino,1,Sí,Sin arma,Alevosía,No aplica,Sí,Sí,En investigación,157</t>
  </si>
  <si>
    <t>250,2020-01-23,9:38,Homicidio,Alta Córdoba,10/11/2004,Femenino,1,15/03/1963,Masculino,1,Sí,No aplica,No aplica,Evasión fiscal,No,No,Cerrado,284</t>
  </si>
  <si>
    <t>251,2022-04-18,22:47,Delitos financieros,General Paz,08/09/1970,Femenino,2,18/01/1983,Femenino,3,Sí,Arma blanca,Alevosía,No aplica,Sí,No,Cerrado,272</t>
  </si>
  <si>
    <t>252,2015-10-20,15:31,Delitos financieros,Pueyrredón,04/09/1957,Masculino,2,05/03/1980,Masculino,3,No,No aplica,No aplica,Lavado de dinero,No,No,Cerrado,No aplica</t>
  </si>
  <si>
    <t>253,2016-04-25,16:58,Amenazas,General Paz,11/09/1991,Femenino,1,26/07/1963,Masculino,1,Sí,No aplica,No aplica,Lavado de dinero,Sí,Sí,En investigación,202</t>
  </si>
  <si>
    <t>254,2023-09-17,1:55,Hurto,Centro,16/01/1960,Masculino,2,17/04/2009,Masculino,1,Sí,No aplica,Sin agravantes,No aplica,No,No,Cerrado,184</t>
  </si>
  <si>
    <t>255,2021-09-06,18:49,Corrupción,Jardín Espinosa,26/05/1957,Femenino,2,06/05/1949,Femenino,2,No,No aplica,No aplica,5kg de cocaína,No,No,Cerrado,No aplica</t>
  </si>
  <si>
    <t>256,2018-05-05,10:32,Delitos financieros,Jardín Espinosa,21/01/1956,Masculino,4,26/08/1984,Femenino,1,No,No aplica,No aplica,Estafa bancaria,No,Sí,En investigación,No aplica</t>
  </si>
  <si>
    <t>257,2024-12-25,1:32,Vandalismo,Villa El Libertador,11/01/1962,Femenino,5,18/02/1996,Masculino,3,Sí,No aplica,Por vínculo,No aplica,No,No,Abierto,293</t>
  </si>
  <si>
    <t>258,2015-05-12,5:31,Delitos financieros,San Vicente,28/08/2006,Masculino,3,27/05/1944,Femenino,3,No,No aplica,Sin agravantes,No aplica,Sí,No,Cerrado,No aplica</t>
  </si>
  <si>
    <t>259,2015-01-03,15:37,Fraude,Villa El Libertador,24/02/1964,Masculino,1,13/12/1953,Femenino,3,Sí,No aplica,Sin agravantes,No aplica,Sí,No,Cerrado,143</t>
  </si>
  <si>
    <t>260,2022-04-17,23:51,Corrupción,Centro,10/03/1989,Femenino,3,06/01/1959,Femenino,1,Sí,No aplica,No aplica,5kg de cocaína,Sí,No,Cerrado,48</t>
  </si>
  <si>
    <t>261,2023-06-26,15:25,Fraude,Alta Córdoba,06/08/1981,Femenino,1,02/06/1988,Masculino,2,Sí,No aplica,No aplica,Vidrios de comercio rotos,No,No,Cerrado,265</t>
  </si>
  <si>
    <t>262,2018-07-11,20:37,Secuestro,Jardín Espinosa,16/08/2001,Femenino,2,01/04/1949,Masculino,3,Sí,Objeto contundente,Con ensañamiento,No aplica,Sí,Sí,Cerrado,79</t>
  </si>
  <si>
    <t>263,2018-09-18,14:23,Delitos financieros,General Paz,18/08/1954,Femenino,4,22/08/1950,Masculino,3,No,No aplica,No aplica,Grafitis en edificios públicos,No,No,Cerrado,No aplica</t>
  </si>
  <si>
    <t>264,2020-10-18,10:01,Violación,Nueva Córdoba,19/06/1985,Femenino,4,22/12/1965,Masculino,2,Sí,No aplica,No aplica,Evasión fiscal,No,No,En investigación,139</t>
  </si>
  <si>
    <t>265,2023-01-19,21:38,Corrupción,Cerro de las Rosas,13/10/1956,Femenino,2,10/09/2004,Femenino,3,Sí,No aplica,No aplica,Celular,No,No,Cerrado,193</t>
  </si>
  <si>
    <t>266,2016-10-14,7:44,Amenazas,Pueyrredón,02/10/1980,Femenino,5,16/10/1957,Femenino,1,No,No aplica,No aplica,No aplica,No,Sí,Cerrado,No aplica</t>
  </si>
  <si>
    <t>267,2016-06-04,9:42,Corrupción,Pueyrredón,02/06/1970,Masculino,3,19/08/1974,Femenino,3,No,No aplica,No aplica,Estafa bancaria,No,No,Abierto,No aplica</t>
  </si>
  <si>
    <t>268,2022-08-19,6:36,Delitos financieros,Pueyrredón,16/10/1982,Femenino,4,05/09/1959,Masculino,3,Sí,No aplica,No aplica,5kg de cocaína,No,No,En investigación,26</t>
  </si>
  <si>
    <t>269,2024-07-25,9:57,Delitos financieros,Alberdi,24/03/1994,Femenino,2,17/12/1991,Masculino,3,No,No aplica,No aplica,Estafa bancaria,No,Sí,Abierto,No aplica</t>
  </si>
  <si>
    <t>270,2016-02-03,17:41,Hurto,Alberdi,25/08/2006,Femenino,1,01/12/1974,Masculino,2,No,No aplica,No aplica,Lavado de dinero,No,No,En investigación,No aplica</t>
  </si>
  <si>
    <t>271,2018-08-12,18:52,Hurto,IPV Argüello,25/07/1972,Masculino,1,28/03/2012,Masculino,3,Sí,No aplica,No aplica,5kg de cocaína,No,No,Cerrado,285</t>
  </si>
  <si>
    <t>272,2019-02-26,15:44,Violencia de género,Villa El Libertador,06/10/1996,Femenino,1,10/08/2012,Femenino,3,No,No aplica,No aplica,Grafitis en edificios públicos,No,Sí,Cerrado,No aplica</t>
  </si>
  <si>
    <t>273,2021-02-26,23:20,Delitos financieros,Pueyrredón,10/12/1984,Femenino,3,28/04/2008,Masculino,1,Sí,Arma de fuego,Por vínculo,No aplica,Sí,No,Cerrado,153</t>
  </si>
  <si>
    <t>274,2019-05-28,8:59,Violencia de género,Villa El Libertador,27/07/1966,Femenino,1,13/04/1968,Masculino,3,Sí,No aplica,No aplica,No aplica,No,No,Cerrado,9</t>
  </si>
  <si>
    <t>275,2024-01-21,16:09,Robo,Jardín Espinosa,17/07/1979,Masculino,2,11/01/1975,Femenino,1,Sí,No aplica,No aplica,Dinero público desviado,No,Sí,Abierto,45</t>
  </si>
  <si>
    <t>276,2019-03-08,12:54,Narcotráfico,Alta Córdoba,23/03/1976,Femenino,5,26/10/1944,Masculino,3,No,No aplica,No aplica,No aplica,No,Sí,Cerrado,No aplica</t>
  </si>
  <si>
    <t>277,2017-10-28,16:46,Violación,Argüello,28/05/1960,Femenino,4,01/06/2012,Femenino,1,No,No aplica,No aplica,Evasión fiscal,No,Sí,Abierto,No aplica</t>
  </si>
  <si>
    <t>278,2024-04-08,16:55,Robo,Cerro de las Rosas,06/06/1957,Masculino,2,26/09/1947,Femenino,1,Sí,No aplica,No aplica,Dinero público desviado,No,Sí,Cerrado,281</t>
  </si>
  <si>
    <t>279,2015-12-16,20:30,Delitos financieros,San Vicente,20/06/1995,Femenino,5,28/12/1952,Femenino,2,Sí,No aplica,No aplica,5kg de cocaína,Sí,Sí,Cerrado,172</t>
  </si>
  <si>
    <t>280,2022-11-08,18:48,Violencia de género,Argüello,25/05/1994,Femenino,4,17/11/1985,Masculino,3,Sí,No aplica,Alevosía,No aplica,No,No,En investigación,231</t>
  </si>
  <si>
    <t>281,2020-09-03,23:39,Secuestro,Argüello,19/12/1989,Masculino,4,21/11/2013,Femenino,2,Sí,No aplica,No aplica,Plantas de marihuana,No,Sí,Cerrado,243</t>
  </si>
  <si>
    <t>282,2017-11-01,22:35,Delitos financieros,Cerro de las Rosas,27/05/1975,Masculino,3,18/05/1972,Masculino,2,Sí,No aplica,No aplica,No aplica,No,Sí,Cerrado,224</t>
  </si>
  <si>
    <t>283,2020-11-04,19:33,Fraude,San Vicente,27/06/1958,Masculino,1,21/06/2006,Masculino,3,No,Sin arma,No aplica,"Auto modelo XXX, patente XXX XXX",No,Sí,Abierto,No aplica</t>
  </si>
  <si>
    <t>284,2019-08-05,13:06,Narcotráfico,IPV Argüello,24/07/1954,Femenino,2,07/01/1982,Femenino,3,Sí,No aplica,Sin agravantes,No aplica,Sí,Sí,Abierto,130</t>
  </si>
  <si>
    <t>285,2018-09-07,18:05,Violencia de género,Pueyrredón,07/06/1993,Masculino,5,02/09/1996,Femenino,1,Sí,No aplica,No aplica,Vidrios de comercio rotos,No,Sí,En investigación,67</t>
  </si>
  <si>
    <t>286,2016-01-05,19:09,Violación,Alta Córdoba,20/04/1981,Femenino,4,07/05/1957,Femenino,1,Sí,No aplica,No aplica,Plantas de marihuana,No,Sí,Cerrado,161</t>
  </si>
  <si>
    <t>287,2019-04-06,13:30,Robo,Alta Córdoba,15/12/1967,Masculino,1,11/07/1999,Masculino,3,Sí,No aplica,No aplica,Estafa bancaria,No,No,Cerrado,81</t>
  </si>
  <si>
    <t>288,2018-08-03,9:56,Narcotráfico,Jardín Espinosa,19/11/1981,Masculino,2,19/12/1968,Femenino,1,No,No aplica,No aplica,Contrato fraudulento,No,No,Cerrado,No aplica</t>
  </si>
  <si>
    <t>289,2022-06-22,1:24,Fraude,Jardín Espinosa,20/06/2004,Masculino,1,27/12/1945,Femenino,3,No,No aplica,Por vínculo,No aplica,No,No,Cerrado,No aplica</t>
  </si>
  <si>
    <t>290,2024-01-26,4:28,Delitos financieros,Nueva Córdoba,13/12/1989,Masculino,1,05/05/1950,Femenino,3,Sí,No aplica,No aplica,5kg de cocaína,No,Sí,En investigación,247</t>
  </si>
  <si>
    <t>291,2023-12-28,6:28,Delitos financieros,Jardín Espinosa,08/03/2004,Masculino,3,26/07/1980,Femenino,3,Sí,No aplica,Por vínculo,No aplica,No,No,Abierto,13</t>
  </si>
  <si>
    <t>292,2020-03-18,20:59,Hurto,Jardín Espinosa,13/05/1982,Femenino,4,21/06/1973,Femenino,2,No,Objeto contundente,No aplica,"Auto modelo XXX, patente XXX XXX",No,No,Cerrado,No aplica</t>
  </si>
  <si>
    <t>293,2021-05-22,12:46,Vandalismo,Alta Córdoba,03/10/1953,Masculino,1,01/11/1984,Masculino,1,Sí,No aplica,No aplica,Grafitis en edificios públicos,Sí,No,Abierto,130</t>
  </si>
  <si>
    <t>294,2021-10-26,22:26,Secuestro,Villa El Libertador,10/03/1957,Masculino,3,19/07/1963,Masculino,1,Sí,Objeto contundente,No aplica,Laptop marca HP,No,No,Abierto,273</t>
  </si>
  <si>
    <t>295,2015-06-03,2:59,Robo,San Vicente,19/01/2006,Femenino,5,19/12/1964,Femenino,3,No,No aplica,No aplica,5kg de cocaína,Sí,Sí,Cerrado,No aplica</t>
  </si>
  <si>
    <t>296,2024-12-29,21:09,Fraude,Alberdi,20/07/1971,Femenino,5,18/09/1958,Masculino,3,No,Arma de fuego,No aplica,"Billetera con $15,000 ARG",No,No,Cerrado,No aplica</t>
  </si>
  <si>
    <t>297,2020-04-27,15:59,Violación,Pueyrredón,09/01/1950,Femenino,2,19/05/1971,Masculino,2,Sí,No aplica,No aplica,Lavado de dinero,Sí,Sí,Cerrado,106</t>
  </si>
  <si>
    <t>298,2021-01-05,16:00,Violación,Argüello,03/02/1981,Masculino,4,26/03/1948,Femenino,3,Sí,No aplica,No aplica,Dinero público desviado,No,No,Abierto,125</t>
  </si>
  <si>
    <t>299,2019-11-03,23:25,Delitos financieros,General Paz,06/12/1983,Femenino,1,07/08/1988,Femenino,1,Sí,No aplica,Sin agravantes,No aplica,Sí,Sí,Cerrado,69</t>
  </si>
  <si>
    <t>300,2024-03-19,23:32,Secuestro,Alberdi,24/02/1972,Femenino,4,23/03/1946,Femenino,2,Sí,Objeto contundente,Sin agravantes,No aplica,No,Sí,Cerrado,276</t>
  </si>
  <si>
    <t>301,2021-04-21,15:21,Homicidio,Argüello,26/11/2005,Masculino,4,28/01/1955,Masculino,3,Sí,No aplica,No aplica,Vidrios de comercio rotos,No,No,En investigación,251</t>
  </si>
  <si>
    <t>302,2021-02-19,17:55,Narcotráfico,Pueyrredón,19/05/1983,Femenino,3,26/03/1985,Femenino,3,Sí,No aplica,No aplica,Evasión fiscal,Sí,No,Abierto,169</t>
  </si>
  <si>
    <t>303,2019-08-15,0:54,Homicidio,Pueyrredón,27/11/1959,Masculino,4,22/04/2007,Masculino,3,Sí,No aplica,No aplica,Vidrios de comercio rotos,No,No,Abierto,7</t>
  </si>
  <si>
    <t>304,2015-04-23,5:46,Vandalismo,Centro,07/01/1991,Masculino,1,09/02/1942,Masculino,2,Sí,No aplica,Sin agravantes,No aplica,No,No,Cerrado,87</t>
  </si>
  <si>
    <t>305,2023-09-29,18:55,Delitos financieros,San Vicente,03/08/1955,Femenino,1,19/04/1992,Femenino,3,No,No aplica,No aplica,Celular,No,No,Abierto,No aplica</t>
  </si>
  <si>
    <t>306,2018-12-29,22:21,Fraude,Jardín Espinosa,09/05/2003,Masculino,5,16/08/1981,Femenino,1,Sí,Objeto contundente,Con ensañamiento,No aplica,No,Sí,En investigación,30</t>
  </si>
  <si>
    <t>307,2016-02-18,13:12,Robo,Villa El Libertador,16/07/1990,Femenino,5,25/08/2015,Femenino,2,No,No aplica,No aplica,Dinero público desviado,No,Sí,Abierto,No aplica</t>
  </si>
  <si>
    <t>308,2023-01-31,3:49,Robo,General Paz,05/11/1984,Masculino,5,14/06/1964,Femenino,3,Sí,No aplica,Sin agravantes,No aplica,No,Sí,Cerrado,241</t>
  </si>
  <si>
    <t>309,2022-01-22,13:06,Violación,Argüello,09/05/2002,Femenino,1,18/11/2004,Femenino,3,Sí,No aplica,No aplica,Contrato fraudulento,No,No,Cerrado,109</t>
  </si>
  <si>
    <t>310,2024-10-03,15:10,Corrupción,Alberdi,14/04/1994,Femenino,2,10/05/1963,Masculino,1,No,No aplica,No aplica,Plantas de marihuana,No,Sí,En investigación,No aplica</t>
  </si>
  <si>
    <t>311,2017-08-17,17:07,Fraude,Alta Córdoba,01/06/2004,Femenino,2,24/07/1996,Masculino,2,Sí,No aplica,No aplica,Estafa bancaria,Sí,Sí,Cerrado,54</t>
  </si>
  <si>
    <t>312,2020-01-19,6:19,Secuestro,Centro,15/04/1951,Femenino,1,16/02/2012,Femenino,1,No,No aplica,No aplica,Vidrios de comercio rotos,Sí,Sí,Cerrado,No aplica</t>
  </si>
  <si>
    <t>313,2015-09-29,0:18,Vandalismo,Cerro de las Rosas,10/04/1959,Masculino,5,16/07/1946,Femenino,2,Sí,No aplica,No aplica,Grafitis en edificios públicos,No,No,Abierto,279</t>
  </si>
  <si>
    <t>314,2019-08-31,9:30,Violencia de género,Jardín Espinosa,02/09/1970,Masculino,1,22/05/1961,Femenino,3,Sí,No aplica,No aplica,Contrato fraudulento,No,No,Cerrado,50</t>
  </si>
  <si>
    <t>315,2015-06-20,4:34,Violación,Cerro de las Rosas,04/09/1987,Masculino,4,14/07/1985,Masculino,2,Sí,No aplica,No aplica,No aplica,No,No,Cerrado,59</t>
  </si>
  <si>
    <t>316,2022-04-12,19:57,Violación,Alta Córdoba,12/07/2002,Femenino,3,28/01/1985,Masculino,3,No,No aplica,No aplica,Ropa de marca,No,No,En investigación,No aplica</t>
  </si>
  <si>
    <t>317,2020-01-17,23:27,Secuestro,San Vicente,03/11/1969,Femenino,1,20/07/1995,Femenino,1,Sí,No aplica,No aplica,No aplica,No,Sí,Cerrado,284</t>
  </si>
  <si>
    <t>318,2019-09-30,22:45,Homicidio,Alta Córdoba,11/07/1972,Masculino,2,12/02/1975,Femenino,2,No,Arma blanca,No aplica,"Billetera con $15,000 ARG",No,Sí,Cerrado,No aplica</t>
  </si>
  <si>
    <t>319,2021-07-29,18:53,Fraude,Jardín Espinosa,09/09/2003,Femenino,2,16/01/1942,Femenino,1,No,Objeto contundente,Sin agravantes,No aplica,No,Sí,Cerrado,No aplica</t>
  </si>
  <si>
    <t>320,2022-11-01,2:35,Secuestro,Centro,01/07/1987,Femenino,2,27/01/1969,Masculino,3,No,No aplica,No aplica,Plantas de marihuana,Sí,No,Cerrado,No aplica</t>
  </si>
  <si>
    <t>321,2021-08-27,18:47,Violación,Nueva Córdoba,12/12/1976,Masculino,2,25/07/1964,Masculino,2,No,No aplica,No aplica,Ropa de marca,Sí,Sí,Cerrado,No aplica</t>
  </si>
  <si>
    <t>322,2018-11-08,13:38,Hurto,Alta Córdoba,05/04/1962,Masculino,4,01/03/2010,Masculino,3,No,No aplica,No aplica,Estafa bancaria,No,No,Cerrado,No aplica</t>
  </si>
  <si>
    <t>323,2023-02-24,21:57,Robo,Alberdi,10/04/1978,Femenino,4,01/08/2008,Femenino,1,Sí,Arma de fuego,Sin agravantes,No aplica,No,No,En investigación,10</t>
  </si>
  <si>
    <t>324,2020-01-14,13:52,Fraude,IPV Argüello,19/08/1954,Femenino,1,07/12/1944,Masculino,1,No,No aplica,No aplica,Estafa bancaria,No,No,Abierto,No aplica</t>
  </si>
  <si>
    <t>325,2023-09-22,8:15,Corrupción,Alberdi,14/02/1977,Femenino,3,20/08/2014,Masculino,3,Sí,No aplica,No aplica,5kg de cocaína,Sí,Sí,Cerrado,137</t>
  </si>
  <si>
    <t>326,2021-06-18,21:32,Violación,San Vicente,01/10/1962,Femenino,1,05/10/2012,Masculino,2,No,Sin arma,Sin agravantes,No aplica,No,Sí,En investigación,No aplica</t>
  </si>
  <si>
    <t>327,2019-07-10,11:32,Delitos financieros,Alta Córdoba,08/06/1963,Femenino,1,11/03/1977,Masculino,2,No,No aplica,No aplica,Dinero público desviado,No,No,Cerrado,No aplica</t>
  </si>
  <si>
    <t>328,2024-11-21,4:25,Secuestro,IPV Argüello,13/08/1972,Femenino,4,15/09/1982,Femenino,3,Sí,No aplica,No aplica,Plantas de marihuana,Sí,Sí,Abierto,131</t>
  </si>
  <si>
    <t>329,2024-01-18,3:12,Robo,Cerro de las Rosas,26/11/1950,Masculino,5,08/04/1985,Masculino,2,No,No aplica,Alevosía,No aplica,No,Sí,Abierto,No aplica</t>
  </si>
  <si>
    <t>330,2019-11-15,14:49,Corrupción,General Paz,17/10/1969,Femenino,5,27/04/1973,Masculino,2,Sí,No aplica,No aplica,Grafitis en edificios públicos,Sí,No,Cerrado,129</t>
  </si>
  <si>
    <t>331,2017-01-25,22:07,Hurto,Argüello,07/01/1959,Femenino,3,23/11/2008,Masculino,1,No,No aplica,No aplica,Celular,No,Sí,Abierto,No aplica</t>
  </si>
  <si>
    <t>332,2015-05-17,8:43,Narcotráfico,San Vicente,28/09/1959,Femenino,4,27/12/1948,Masculino,3,Sí,No aplica,No aplica,Grafitis en edificios públicos,No,Sí,Abierto,160</t>
  </si>
  <si>
    <t>333,2017-04-11,21:47,Secuestro,General Paz,08/05/2004,Femenino,4,26/08/1997,Femenino,2,No,No aplica,No aplica,Cartera con documentación,No,No,Abierto,No aplica</t>
  </si>
  <si>
    <t>334,2019-07-13,19:38,Amenazas,Argüello,02/03/1986,Femenino,5,27/06/1958,Femenino,2,Sí,No aplica,No aplica,Grafitis en edificios públicos,No,Sí,Abierto,207</t>
  </si>
  <si>
    <t>335,2023-11-28,23:04,Hurto,Jardín Espinosa,19/02/1975,Masculino,4,25/02/1954,Femenino,1,No,Arma blanca,No aplica,"Celular, tarjetas bancarias",No,Sí,En investigación,No aplica</t>
  </si>
  <si>
    <t>336,2023-02-04,11:52,Narcotráfico,Centro,14/05/1998,Masculino,3,27/12/2002,Femenino,1,Sí,No aplica,No aplica,Contrato fraudulento,No,Sí,Cerrado,61</t>
  </si>
  <si>
    <t>337,2024-01-07,12:14,Secuestro,IPV Argüello,01/04/1967,Femenino,1,03/09/2013,Femenino,3,Sí,No aplica,No aplica,Evasión fiscal,No,No,En investigación,203</t>
  </si>
  <si>
    <t>338,2018-10-09,15:10,Violación,Centro,04/02/2004,Masculino,2,14/03/2013,Masculino,1,No,No aplica,No aplica,Dinero público desviado,Sí,Sí,En investigación,No aplica</t>
  </si>
  <si>
    <t>339,2017-12-30,21:22,Robo,General Paz,12/05/1994,Masculino,2,28/05/1958,Femenino,3,No,Sin arma,No aplica,"Billetera con $15,000 ARG",No,Sí,En investigación,No aplica</t>
  </si>
  <si>
    <t>340,2024-10-03,17:03,Robo,Nueva Córdoba,21/04/1959,Femenino,3,19/12/1982,Femenino,1,Sí,No aplica,Por vínculo,No aplica,No,No,En investigación,225</t>
  </si>
  <si>
    <t>341,2016-06-03,3:45,Hurto,Alta Córdoba,11/01/1970,Femenino,2,19/04/1983,Femenino,1,Sí,No aplica,No aplica,Grafitis en edificios públicos,No,Sí,Cerrado,132</t>
  </si>
  <si>
    <t>342,2017-09-01,5:50,Corrupción,IPV Argüello,05/03/1978,Masculino,4,04/08/1998,Masculino,2,Sí,No aplica,No aplica,Grafitis en edificios públicos,No,No,Abierto,248</t>
  </si>
  <si>
    <t>343,2017-06-28,5:41,Homicidio,Alta Córdoba,27/12/1954,Femenino,2,22/09/1971,Femenino,1,No,No aplica,No aplica,No aplica,Sí,No,Cerrado,No aplica</t>
  </si>
  <si>
    <t>344,2023-07-13,17:54,Narcotráfico,Pueyrredón,27/07/1980,Femenino,1,24/07/2000,Femenino,2,Sí,No aplica,No aplica,Dinero público desviado,No,Sí,Cerrado,288</t>
  </si>
  <si>
    <t>345,2019-06-20,16:54,Narcotráfico,Centro,05/12/1953,Femenino,5,08/10/1970,Masculino,2,Sí,No aplica,No aplica,Estafa bancaria,No,No,Abierto,258</t>
  </si>
  <si>
    <t>346,2017-05-07,22:55,Fraude,Argüello,09/03/1987,Masculino,3,02/06/2008,Masculino,3,Sí,No aplica,Por vínculo,No aplica,No,No,Cerrado,289</t>
  </si>
  <si>
    <t>347,2020-03-07,19:14,Homicidio,Villa El Libertador,03/01/1961,Masculino,2,07/04/1991,Femenino,2,Sí,No aplica,No aplica,Ropa de marca,Sí,No,Cerrado,294</t>
  </si>
  <si>
    <t>348,2022-12-03,3:28,Violencia de género,Jardín Espinosa,26/10/1994,Femenino,2,22/05/2012,Femenino,1,No,No aplica,Sin agravantes,No aplica,No,No,Cerrado,No aplica</t>
  </si>
  <si>
    <t>349,2021-09-29,20:54,Vandalismo,Jardín Espinosa,03/08/1962,Masculino,2,17/08/1970,Masculino,1,No,Arma de fuego,Por vínculo,No aplica,No,No,Cerrado,No aplica</t>
  </si>
  <si>
    <t>350,2015-09-01,16:52,Delitos financieros,Cerro de las Rosas,08/12/1985,Masculino,3,27/08/2000,Femenino,2,No,No aplica,No aplica,No aplica,Sí,No,Cerrado,No aplica</t>
  </si>
  <si>
    <t>351,2021-10-29,20:35,Violación,Cerro de las Rosas,08/07/2006,Femenino,4,21/09/1949,Masculino,2,No,No aplica,No aplica,Ropa de marca,No,Sí,Cerrado,No aplica</t>
  </si>
  <si>
    <t>352,2018-11-23,13:32,Narcotráfico,Alberdi,15/10/1992,Femenino,1,03/01/1953,Masculino,2,No,No aplica,No aplica,5kg de cocaína,Sí,No,Cerrado,No aplica</t>
  </si>
  <si>
    <t>353,2015-07-16,9:05,Fraude,Alta Córdoba,26/03/1955,Masculino,1,04/11/1990,Femenino,2,No,No aplica,No aplica,Lavado de dinero,Sí,No,Cerrado,No aplica</t>
  </si>
  <si>
    <t>354,2017-09-26,19:11,Violencia de género,Argüello,26/07/1950,Masculino,4,10/09/1999,Femenino,2,No,No aplica,No aplica,Grafitis en edificios públicos,No,Sí,Abierto,No aplica</t>
  </si>
  <si>
    <t>355,2015-02-05,19:52,Violencia de género,Alta Córdoba,27/07/1953,Femenino,5,02/08/1951,Femenino,2,No,No aplica,No aplica,Bicicleta,No,No,Cerrado,No aplica</t>
  </si>
  <si>
    <t>356,2022-03-09,10:20,Violación,San Vicente,04/03/1977,Masculino,3,10/01/1955,Masculino,2,No,No aplica,No aplica,Vidrios de comercio rotos,No,No,Abierto,No aplica</t>
  </si>
  <si>
    <t>357,2024-11-30,13:16,Violación,San Vicente,08/06/1951,Femenino,4,18/03/1946,Masculino,3,No,No aplica,No aplica,Evasión fiscal,No,Sí,Cerrado,No aplica</t>
  </si>
  <si>
    <t>358,2022-06-27,9:03,Violación,Alberdi,11/03/1951,Masculino,3,23/09/1944,Femenino,1,No,No aplica,No aplica,Lavado de dinero,No,Sí,Cerrado,No aplica</t>
  </si>
  <si>
    <t>359,2016-12-07,23:43,Violencia de género,Villa El Libertador,09/04/1957,Masculino,3,20/01/2013,Femenino,3,Sí,Sin arma,Sin agravantes,No aplica,No,Sí,Cerrado,98</t>
  </si>
  <si>
    <t>360,2022-12-23,14:44,Amenazas,Cerro de las Rosas,21/06/1950,Femenino,1,12/10/2007,Masculino,2,No,No aplica,No aplica,Evasión fiscal,No,No,Cerrado,No aplica</t>
  </si>
  <si>
    <t>361,2021-06-03,13:44,Robo,IPV Argüello,18/05/1969,Femenino,5,22/06/1947,Masculino,2,Sí,No aplica,No aplica,No aplica,Sí,Sí,Cerrado,100</t>
  </si>
  <si>
    <t>362,2023-05-25,20:25,Secuestro,San Vicente,02/09/1969,Masculino,3,11/02/1953,Femenino,3,Sí,No aplica,Por vínculo,No aplica,No,Sí,En investigación,147</t>
  </si>
  <si>
    <t>363,2020-05-26,8:56,Hurto,San Vicente,14/06/1987,Femenino,2,24/11/1981,Masculino,3,Sí,No aplica,No aplica,Vidrios de comercio rotos,No,No,Cerrado,295</t>
  </si>
  <si>
    <t>364,2018-07-09,14:26,Narcotráfico,Pueyrredón,08/10/1976,Masculino,1,08/08/2007,Masculino,3,Sí,No aplica,Alevosía,No aplica,No,No,Cerrado,29</t>
  </si>
  <si>
    <t>365,2015-12-27,13:56,Secuestro,Alta Córdoba,12/03/1956,Femenino,4,02/11/1966,Masculino,1,No,No aplica,No aplica,Contrato fraudulento,Sí,Sí,Cerrado,No aplica</t>
  </si>
  <si>
    <t>366,2015-05-30,10:18,Violencia de género,General Paz,08/12/1957,Masculino,1,23/06/2009,Femenino,2,No,No aplica,No aplica,No aplica,No,Sí,En investigación,No aplica</t>
  </si>
  <si>
    <t>367,2021-07-29,23:09,Narcotráfico,Nueva Córdoba,27/06/2003,Femenino,4,15/06/1948,Masculino,3,No,Sin arma,No aplica,"Celular, tarjetas bancarias",Sí,No,Cerrado,No aplica</t>
  </si>
  <si>
    <t>368,2017-07-25,15:32,Fraude,Centro,10/12/1999,Femenino,3,07/10/1978,Femenino,2,No,No aplica,No aplica,Dinero público desviado,No,No,Cerrado,No aplica</t>
  </si>
  <si>
    <t>369,2018-05-14,20:34,Vandalismo,Centro,18/08/1964,Masculino,3,14/07/1958,Femenino,2,No,No aplica,No aplica,No aplica,No,No,Cerrado,No aplica</t>
  </si>
  <si>
    <t>370,2021-10-06,15:55,Violación,Cerro de las Rosas,21/01/2003,Femenino,5,21/07/1955,Femenino,3,No,No aplica,No aplica,Vidrios de comercio rotos,Sí,No,Cerrado,No aplica</t>
  </si>
  <si>
    <t>371,2020-04-03,0:29,Vandalismo,Centro,23/09/1983,Femenino,2,02/10/1971,Masculino,2,No,No aplica,No aplica,No aplica,Sí,Sí,En investigación,No aplica</t>
  </si>
  <si>
    <t>372,2019-09-09,20:53,Narcotráfico,Argüello,21/12/1975,Masculino,5,12/01/1962,Masculino,2,No,Arma de fuego,Con ensañamiento,No aplica,No,No,Cerrado,No aplica</t>
  </si>
  <si>
    <t>373,2018-12-02,23:44,Violación,Cerro de las Rosas,01/02/1968,Femenino,5,09/01/1979,Masculino,2,Sí,Sin arma,Sin agravantes,No aplica,No,No,Cerrado,262</t>
  </si>
  <si>
    <t>374,2019-05-03,15:40,Hurto,Centro,03/12/1963,Femenino,2,21/05/1950,Femenino,1,No,No aplica,No aplica,No aplica,No,Sí,Cerrado,No aplica</t>
  </si>
  <si>
    <t>375,2021-04-27,17:15,Violación,General Paz,23/05/1973,Masculino,2,12/07/1946,Masculino,1,No,No aplica,No aplica,Evasión fiscal,No,Sí,Cerrado,No aplica</t>
  </si>
  <si>
    <t>376,2016-08-19,20:02,Hurto,IPV Argüello,16/08/1999,Femenino,2,24/11/2015,Femenino,3,Sí,Arma de fuego,Alevosía,No aplica,Sí,Sí,Cerrado,118</t>
  </si>
  <si>
    <t>377,2024-10-29,20:08,Delitos financieros,Jardín Espinosa,08/03/1999,Femenino,2,23/03/2008,Masculino,2,Sí,Arma de fuego,No aplica,"Auto modelo XXX, patente XXX XXX",No,No,Abierto,260</t>
  </si>
  <si>
    <t>378,2021-09-21,23:51,Violencia de género,General Paz,18/07/1960,Femenino,5,27/04/2010,Masculino,1,No,Sin arma,Con ensañamiento,No aplica,No,Sí,Cerrado,No aplica</t>
  </si>
  <si>
    <t>379,2021-09-09,11:32,Robo,Alta Córdoba,11/03/1966,Femenino,2,28/08/1976,Masculino,2,Sí,No aplica,Sin agravantes,No aplica,No,No,Abierto,272</t>
  </si>
  <si>
    <t>380,2020-10-16,10:26,Vandalismo,Centro,05/01/2006,Femenino,4,14/07/1994,Masculino,1,No,No aplica,No aplica,Contrato fraudulento,No,Sí,Cerrado,No aplica</t>
  </si>
  <si>
    <t>381,2018-09-02,18:14,Corrupción,Centro,11/10/1961,Femenino,4,19/06/1944,Masculino,3,No,Sin arma,No aplica,"Billetera con $15,000 ARG",No,No,Cerrado,No aplica</t>
  </si>
  <si>
    <t>382,2019-03-25,5:04,Fraude,General Paz,20/12/1985,Femenino,4,06/01/1956,Masculino,1,Sí,No aplica,No aplica,Plantas de marihuana,Sí,Sí,Abierto,68</t>
  </si>
  <si>
    <t>383,2021-08-01,19:49,Vandalismo,General Paz,16/07/1989,Masculino,4,04/09/1940,Femenino,2,No,Arma blanca,No aplica,Laptop marca HP,No,No,Cerrado,No aplica</t>
  </si>
  <si>
    <t>384,2022-06-03,13:06,Vandalismo,Argüello,04/04/1977,Femenino,1,01/08/2003,Masculino,1,No,No aplica,No aplica,No aplica,No,No,En investigación,No aplica</t>
  </si>
  <si>
    <t>385,2019-11-13,19:12,Delitos financieros,Alta Córdoba,02/04/1970,Masculino,5,12/04/1953,Masculino,3,No,Objeto contundente,No aplica,"Billetera con $15,000 ARG",No,No,Cerrado,No aplica</t>
  </si>
  <si>
    <t>386,2020-11-30,16:58,Delitos financieros,IPV Argüello,26/08/1999,Femenino,2,04/04/1944,Femenino,2,No,No aplica,No aplica,Contrato fraudulento,Sí,Sí,Cerrado,No aplica</t>
  </si>
  <si>
    <t>387,2015-06-05,2:47,Violación,Pueyrredón,10/11/1985,Masculino,1,22/09/2011,Femenino,2,Sí,No aplica,No aplica,No aplica,No,No,En investigación,60</t>
  </si>
  <si>
    <t>388,2022-03-21,22:30,Narcotráfico,IPV Argüello,21/11/1992,Femenino,2,09/11/1943,Masculino,1,No,Arma de fuego,Alevosía,No aplica,No,No,Cerrado,No aplica</t>
  </si>
  <si>
    <t>389,2024-05-28,13:49,Violación,Argüello,13/06/1964,Femenino,4,09/06/1949,Femenino,3,No,No aplica,No aplica,Evasión fiscal,No,Sí,Abierto,No aplica</t>
  </si>
  <si>
    <t>390,2016-05-05,13:02,Secuestro,Jardín Espinosa,21/12/1964,Femenino,5,28/11/1974,Femenino,2,Sí,No aplica,No aplica,Cuentas falsas,No,No,Cerrado,77</t>
  </si>
  <si>
    <t>391,2017-02-25,19:01,Violencia de género,Centro,05/07/1976,Masculino,5,05/06/1980,Masculino,2,No,No aplica,No aplica,Bicicleta,No,No,En investigación,No aplica</t>
  </si>
  <si>
    <t>392,2016-05-07,5:40,Corrupción,Villa El Libertador,06/04/1962,Masculino,5,15/12/1980,Femenino,1,No,No aplica,No aplica,Vidrios de comercio rotos,No,Sí,Cerrado,No aplica</t>
  </si>
  <si>
    <t>393,2022-01-07,2:24,Secuestro,IPV Argüello,02/03/1993,Masculino,3,22/01/2001,Masculino,1,No,No aplica,Con ensañamiento,No aplica,Sí,Sí,Cerrado,No aplica</t>
  </si>
  <si>
    <t>394,2018-07-23,23:07,Robo,Centro,19/12/1962,Masculino,4,27/02/2001,Femenino,2,Sí,Arma de fuego,Sin agravantes,No aplica,No,No,Abierto,265</t>
  </si>
  <si>
    <t>395,2021-12-31,22:48,Fraude,Alberdi,07/03/1951,Masculino,2,21/05/1991,Femenino,2,No,Arma blanca,No aplica,"Celular, tarjetas bancarias",Sí,No,Abierto,No aplica</t>
  </si>
  <si>
    <t>396,2018-11-15,10:26,Amenazas,Centro,01/01/2000,Masculino,2,18/03/1996,Femenino,3,Sí,No aplica,No aplica,Grafitis en edificios públicos,No,No,En investigación,54</t>
  </si>
  <si>
    <t>397,2024-06-10,13:17,Robo,Alberdi,11/11/1964,Masculino,3,15/10/1981,Masculino,3,Sí,No aplica,No aplica,Pasta base,Sí,No,Abierto,296</t>
  </si>
  <si>
    <t>398,2018-02-08,10:49,Narcotráfico,Pueyrredón,01/09/1962,Masculino,5,20/05/1978,Masculino,2,Sí,No aplica,No aplica,Lavado de dinero,No,No,Cerrado,89</t>
  </si>
  <si>
    <t>399,2021-04-06,17:00,Fraude,Alberdi,04/08/1990,Femenino,4,08/04/1966,Femenino,2,No,No aplica,No aplica,Evasión fiscal,No,Sí,Abierto,No aplica</t>
  </si>
  <si>
    <t>400,2022-08-06,10:19,Violación,General Paz,27/01/1987,Masculino,2,24/07/1959,Masculino,1,No,No aplica,Con ensañamiento,No aplica,No,No,Cerrado,No aplica</t>
  </si>
  <si>
    <t>401,2017-11-11,18:33,Violación,Cerro de las Rosas,25/02/1962,Masculino,2,16/02/2013,Masculino,2,Sí,No aplica,No aplica,Cartera con documentación,No,Sí,Cerrado,87</t>
  </si>
  <si>
    <t>402,2016-04-25,14:30,Hurto,Alberdi,23/01/1980,Femenino,3,27/07/1947,Femenino,2,No,No aplica,No aplica,Dinero público desviado,No,Sí,Abierto,No aplica</t>
  </si>
  <si>
    <t>403,2019-05-26,10:36,Homicidio,General Paz,17/06/1957,Femenino,1,03/02/1981,Masculino,2,No,No aplica,No aplica,Estafa bancaria,No,Sí,En investigación,No aplica</t>
  </si>
  <si>
    <t>404,2020-09-03,16:41,Delitos financieros,Cerro de las Rosas,17/08/1962,Masculino,1,21/06/2000,Femenino,1,Sí,No aplica,No aplica,Cuentas falsas,Sí,Sí,En investigación,293</t>
  </si>
  <si>
    <t>405,2015-02-23,21:58,Fraude,Pueyrredón,19/11/2001,Masculino,2,13/06/2003,Femenino,2,Sí,Sin arma,Alevosía,No aplica,No,No,Cerrado,240</t>
  </si>
  <si>
    <t>406,2020-05-17,14:29,Robo,Villa El Libertador,05/04/1985,Masculino,3,12/04/1943,Masculino,3,No,No aplica,No aplica,Cuentas falsas,No,No,Abierto,No aplica</t>
  </si>
  <si>
    <t>407,2019-11-28,18:15,Amenazas,Nueva Córdoba,21/01/1982,Femenino,4,01/12/1950,Masculino,3,No,Arma de fuego,Sin agravantes,No aplica,Sí,No,Cerrado,No aplica</t>
  </si>
  <si>
    <t>408,2019-03-19,9:58,Violencia de género,IPV Argüello,08/02/1978,Femenino,2,21/07/1949,Femenino,3,No,No aplica,No aplica,Lavado de dinero,Sí,Sí,Cerrado,No aplica</t>
  </si>
  <si>
    <t>409,2020-11-14,10:40,Homicidio,Alberdi,03/06/1976,Femenino,1,13/01/2008,Femenino,1,Sí,No aplica,No aplica,Estafa bancaria,Sí,Sí,En investigación,191</t>
  </si>
  <si>
    <t>410,2021-05-28,21:58,Violencia de género,Nueva Córdoba,23/01/1969,Femenino,4,12/10/1993,Masculino,3,No,No aplica,No aplica,Vidrios de comercio rotos,No,No,Abierto,No aplica</t>
  </si>
  <si>
    <t>411,2024-09-17,17:26,Vandalismo,Argüello,17/09/1969,Masculino,1,16/03/1974,Femenino,1,Sí,No aplica,No aplica,Dinero público desviado,No,No,Cerrado,41</t>
  </si>
  <si>
    <t>412,2017-11-04,19:22,Delitos financieros,Alberdi,28/04/1963,Femenino,1,18/08/1994,Masculino,2,No,Sin arma,Alevosía,No aplica,Sí,No,Abierto,No aplica</t>
  </si>
  <si>
    <t>413,2023-08-21,20:25,Violación,Villa El Libertador,10/07/1959,Femenino,3,11/03/2008,Femenino,3,No,Objeto contundente,No aplica,Laptop marca HP,No,No,Abierto,No aplica</t>
  </si>
  <si>
    <t>414,2018-02-21,23:08,Violencia de género,Nueva Córdoba,23/08/1971,Masculino,2,15/02/1998,Femenino,3,Sí,Objeto contundente,No aplica,Laptop marca HP,No,No,Cerrado,281</t>
  </si>
  <si>
    <t>415,2021-01-07,21:46,Narcotráfico,Villa El Libertador,13/05/1957,Femenino,1,09/06/1947,Masculino,2,Sí,Arma de fuego,No aplica,Laptop marca HP,No,No,Abierto,152</t>
  </si>
  <si>
    <t>416,2016-06-29,18:03,Narcotráfico,Jardín Espinosa,09/01/2002,Femenino,5,10/02/2015,Masculino,3,Sí,No aplica,No aplica,Grafitis en edificios públicos,No,No,Abierto,29</t>
  </si>
  <si>
    <t>417,2016-10-07,20:11,Secuestro,IPV Argüello,02/06/2006,Femenino,1,21/07/1960,Masculino,3,No,No aplica,No aplica,No aplica,No,No,Abierto,No aplica</t>
  </si>
  <si>
    <t>418,2016-12-27,21:43,Fraude,Alta Córdoba,11/07/1953,Femenino,5,21/06/1961,Femenino,2,No,Sin arma,No aplica,"Billetera con $15,000 ARG",No,Sí,Abierto,No aplica</t>
  </si>
  <si>
    <t>419,2015-01-18,10:54,Amenazas,Argüello,25/06/1963,Femenino,2,27/01/1999,Masculino,1,No,No aplica,No aplica,Contrato fraudulento,Sí,No,Abierto,No aplica</t>
  </si>
  <si>
    <t>420,2019-09-01,9:19,Fraude,General Paz,07/09/1956,Femenino,4,12/08/2010,Masculino,2,Sí,No aplica,No aplica,Grafitis en edificios públicos,No,No,Cerrado,43</t>
  </si>
  <si>
    <t>421,2017-05-27,20:38,Robo,Jardín Espinosa,07/10/1988,Femenino,5,09/03/1953,Femenino,1,No,No aplica,No aplica,No aplica,No,Sí,Abierto,No aplica</t>
  </si>
  <si>
    <t>422,2015-05-14,20:12,Vandalismo,Alberdi,14/06/1968,Femenino,4,14/04/1997,Femenino,1,No,Arma blanca,No aplica,Laptop marca HP,Sí,No,Abierto,No aplica</t>
  </si>
  <si>
    <t>423,2020-11-03,17:15,Homicidio,San Vicente,13/02/1998,Femenino,1,27/05/1995,Femenino,2,No,No aplica,Alevosía,No aplica,No,Sí,En investigación,No aplica</t>
  </si>
  <si>
    <t>424,2024-06-03,19:30,Homicidio,IPV Argüello,10/02/1995,Femenino,3,10/07/1983,Masculino,3,Sí,Objeto contundente,Por vínculo,No aplica,No,Sí,Cerrado,112</t>
  </si>
  <si>
    <t>425,2021-08-03,21:30,Homicidio,IPV Argüello,10/11/1989,Femenino,1,03/09/1988,Masculino,1,No,No aplica,Con ensañamiento,No aplica,No,Sí,Cerrado,No aplica</t>
  </si>
  <si>
    <t>426,2022-04-02,8:20,Violencia de género,Jardín Espinosa,27/01/1970,Masculino,5,27/09/1957,Masculino,1,Sí,No aplica,No aplica,Vidrios de comercio rotos,Sí,No,Cerrado,246</t>
  </si>
  <si>
    <t>427,2023-12-04,20:58,Hurto,San Vicente,22/07/1990,Masculino,5,17/11/1966,Femenino,1,Sí,No aplica,No aplica,No aplica,No,No,Cerrado,49</t>
  </si>
  <si>
    <t>428,2017-12-29,19:37,Narcotráfico,Alberdi,04/03/1953,Femenino,5,18/10/1940,Femenino,3,No,Objeto contundente,Alevosía,No aplica,No,No,Cerrado,No aplica</t>
  </si>
  <si>
    <t>429,2020-10-26,21:35,Secuestro,Centro,06/06/1989,Masculino,3,03/03/2007,Masculino,3,No,No aplica,No aplica,No aplica,No,No,Cerrado,No aplica</t>
  </si>
  <si>
    <t>430,2022-08-20,13:57,Vandalismo,Jardín Espinosa,27/10/1998,Masculino,3,28/11/1944,Masculino,1,No,No aplica,No aplica,Contrato fraudulento,No,No,Abierto,No aplica</t>
  </si>
  <si>
    <t>431,2019-06-18,18:44,Amenazas,Pueyrredón,09/11/1960,Masculino,5,01/12/1960,Masculino,1,Sí,No aplica,No aplica,5kg de cocaína,No,Sí,Abierto,237</t>
  </si>
  <si>
    <t>432,2019-02-14,17:59,Homicidio,San Vicente,14/07/2005,Femenino,5,07/04/2014,Femenino,2,Sí,No aplica,No aplica,Estafa bancaria,No,Sí,Cerrado,165</t>
  </si>
  <si>
    <t>433,2016-12-26,10:37,Narcotráfico,Pueyrredón,10/04/1991,Masculino,1,23/02/1976,Femenino,3,No,No aplica,No aplica,Dinero público desviado,Sí,Sí,Abierto,No aplica</t>
  </si>
  <si>
    <t>434,2023-12-04,12:13,Corrupción,Centro,25/01/1966,Femenino,4,24/06/1978,Femenino,3,Sí,No aplica,No aplica,Dinero público desviado,Sí,No,Cerrado,24</t>
  </si>
  <si>
    <t>435,2024-02-01,21:26,Delitos financieros,Argüello,28/11/1953,Masculino,3,27/12/2009,Masculino,3,Sí,No aplica,No aplica,Ropa de marca,No,No,Cerrado,61</t>
  </si>
  <si>
    <t>436,2020-08-12,19:31,Narcotráfico,IPV Argüello,17/05/1984,Masculino,2,10/07/1942,Masculino,1,No,Arma blanca,No aplica,"Auto modelo XXX, patente XXX XXX",No,No,Cerrado,No aplica</t>
  </si>
  <si>
    <t>437,2016-03-01,23:31,Robo,Alta Córdoba,13/06/2001,Femenino,2,11/02/1959,Masculino,1,Sí,Sin arma,No aplica,"Celular, tarjetas bancarias",Sí,No,Cerrado,89</t>
  </si>
  <si>
    <t>438,2020-02-21,15:30,Violencia de género,Pueyrredón,12/12/1976,Femenino,1,01/03/1973,Masculino,2,No,No aplica,No aplica,Lavado de dinero,No,No,Cerrado,No aplica</t>
  </si>
  <si>
    <t>439,2018-05-13,18:08,Delitos financieros,IPV Argüello,06/11/1980,Femenino,5,09/07/1946,Femenino,1,No,Arma de fuego,No aplica,"Billetera con $15,000 ARG",Sí,No,Abierto,No aplica</t>
  </si>
  <si>
    <t>440,2017-11-23,18:50,Delitos financieros,Jardín Espinosa,11/10/1970,Masculino,5,20/01/1966,Femenino,1,Sí,Sin arma,Alevosía,No aplica,No,No,Abierto,62</t>
  </si>
  <si>
    <t>441,2017-04-08,23:01,Violencia de género,Argüello,14/07/1994,Masculino,3,08/01/1978,Masculino,3,No,No aplica,Por vínculo,No aplica,No,No,Cerrado,No aplica</t>
  </si>
  <si>
    <t>442,2020-12-03,22:32,Corrupción,IPV Argüello,02/05/2004,Masculino,4,22/05/2003,Masculino,2,Sí,Objeto contundente,No aplica,"Celular, tarjetas bancarias",No,Sí,Cerrado,171</t>
  </si>
  <si>
    <t>443,2019-01-24,14:22,Amenazas,Jardín Espinosa,06/09/1994,Masculino,1,04/03/1944,Femenino,2,No,No aplica,Con ensañamiento,No aplica,No,No,En investigación,No aplica</t>
  </si>
  <si>
    <t>444,2024-04-07,15:47,Hurto,Alberdi,25/05/1954,Femenino,3,08/06/1963,Femenino,2,No,No aplica,No aplica,Plantas de marihuana,No,No,Cerrado,No aplica</t>
  </si>
  <si>
    <t>445,2023-07-31,17:25,Hurto,Alta Córdoba,19/09/1967,Femenino,4,05/03/1976,Femenino,3,No,No aplica,No aplica,Lavado de dinero,No,Sí,En investigación,No aplica</t>
  </si>
  <si>
    <t>446,2018-06-18,2:59,Violencia de género,Cerro de las Rosas,10/06/1957,Masculino,3,09/08/1946,Femenino,2,No,No aplica,No aplica,No aplica,Sí,Sí,En investigación,No aplica</t>
  </si>
  <si>
    <t>447,2024-04-09,22:02,Homicidio,Jardín Espinosa,03/07/1954,Masculino,5,12/09/1998,Masculino,3,No,Objeto contundente,No aplica,"Billetera con $15,000 ARG",Sí,Sí,Cerrado,No aplica</t>
  </si>
  <si>
    <t>448,2015-08-10,1:13,Narcotráfico,Pueyrredón,01/10/1956,Femenino,4,24/06/1967,Femenino,2,No,No aplica,No aplica,No aplica,No,Sí,Cerrado,No aplica</t>
  </si>
  <si>
    <t>449,2022-08-04,21:50,Hurto,Cerro de las Rosas,25/01/1964,Femenino,3,15/04/1948,Femenino,1,No,No aplica,No aplica,Plantas de marihuana,No,Sí,Cerrado,No aplica</t>
  </si>
  <si>
    <t>450,2019-08-27,9:26,Robo,Nueva Córdoba,10/04/1953,Femenino,1,05/04/1974,Masculino,1,No,No aplica,No aplica,Evasión fiscal,No,No,Cerrado,No aplica</t>
  </si>
  <si>
    <t>451,2018-03-16,19:48,Robo,IPV Argüello,23/09/2003,Masculino,3,10/02/1978,Masculino,2,No,No aplica,No aplica,Ropa de marca,Sí,No,Abierto,No aplica</t>
  </si>
  <si>
    <t>452,2019-08-13,14:14,Hurto,Jardín Espinosa,14/08/1989,Masculino,3,27/10/2006,Femenino,2,Sí,No aplica,No aplica,Evasión fiscal,No,No,Abierto,177</t>
  </si>
  <si>
    <t>453,2015-09-03,15:53,Corrupción,San Vicente,11/12/1967,Masculino,4,16/10/1997,Femenino,3,Sí,No aplica,Sin agravantes,No aplica,No,No,Abierto,102</t>
  </si>
  <si>
    <t>454,2019-05-10,20:44,Amenazas,Alta Córdoba,07/03/1970,Femenino,3,17/08/1997,Masculino,2,No,Arma blanca,No aplica,"Celular, tarjetas bancarias",Sí,No,Cerrado,No aplica</t>
  </si>
  <si>
    <t>455,2024-10-01,9:49,Narcotráfico,Alberdi,11/11/1966,Masculino,3,07/06/1976,Femenino,2,Sí,No aplica,No aplica,Dinero público desviado,No,Sí,Cerrado,266</t>
  </si>
  <si>
    <t>456,2020-06-07,19:34,Secuestro,Alberdi,12/02/1970,Femenino,2,13/11/1963,Femenino,3,No,Arma blanca,No aplica,"Auto modelo XXX, patente XXX XXX",Sí,No,En investigación,No aplica</t>
  </si>
  <si>
    <t>457,2017-03-02,15:11,Violencia de género,Pueyrredón,05/04/1960,Masculino,4,09/08/1993,Femenino,1,No,No aplica,No aplica,Contrato fraudulento,No,Sí,Abierto,No aplica</t>
  </si>
  <si>
    <t>458,2020-11-18,10:05,Robo,Pueyrredón,14/10/1964,Femenino,1,12/06/1971,Femenino,3,No,No aplica,No aplica,Pasta base,No,No,Abierto,No aplica</t>
  </si>
  <si>
    <t>459,2017-06-29,5:02,Vandalismo,Alta Córdoba,09/07/1997,Femenino,2,04/11/1955,Masculino,2,No,No aplica,No aplica,Vidrios de comercio rotos,No,Sí,En investigación,No aplica</t>
  </si>
  <si>
    <t>460,2021-02-05,16:30,Hurto,Villa El Libertador,17/01/1959,Femenino,2,06/02/2013,Masculino,2,Sí,No aplica,No aplica,Vidrios de comercio rotos,Sí,No,Cerrado,65</t>
  </si>
  <si>
    <t>461,2017-01-27,17:10,Robo,Villa El Libertador,12/10/1974,Femenino,1,13/03/2002,Femenino,2,Sí,No aplica,No aplica,Vidrios de comercio rotos,Sí,Sí,Cerrado,60</t>
  </si>
  <si>
    <t>462,2016-02-02,23:36,Violación,Cerro de las Rosas,19/08/1991,Masculino,3,27/07/2009,Masculino,2,No,No aplica,Sin agravantes,No aplica,No,No,Cerrado,No aplica</t>
  </si>
  <si>
    <t>463,2019-04-29,10:52,Amenazas,Alberdi,18/10/1982,Femenino,5,21/07/2011,Femenino,1,Sí,No aplica,No aplica,Vidrios de comercio rotos,Sí,No,Cerrado,110</t>
  </si>
  <si>
    <t>464,2024-10-22,21:04,Delitos financieros,Alberdi,05/09/1967,Masculino,3,15/05/1950,Femenino,1,No,Objeto contundente,Alevosía,No aplica,No,No,Cerrado,No aplica</t>
  </si>
  <si>
    <t>465,2023-07-07,20:43,Robo,IPV Argüello,21/03/1954,Femenino,5,03/09/1948,Femenino,1,No,Sin arma,No aplica,"Celular, tarjetas bancarias",Sí,Sí,Cerrado,No aplica</t>
  </si>
  <si>
    <t>466,2018-08-10,21:22,Violencia de género,Centro,28/05/1973,Masculino,2,16/01/1947,Masculino,3,Sí,Arma blanca,Alevosía,No aplica,No,No,Abierto,109</t>
  </si>
  <si>
    <t>467,2020-06-21,14:10,Violación,IPV Argüello,16/02/2001,Masculino,3,11/04/1942,Femenino,1,Sí,No aplica,No aplica,Lavado de dinero,Sí,No,En investigación,184</t>
  </si>
  <si>
    <t>468,2017-03-23,23:35,Delitos financieros,IPV Argüello,22/01/1961,Masculino,1,15/07/1982,Femenino,2,No,Sin arma,Sin agravantes,No aplica,Sí,Sí,Cerrado,No aplica</t>
  </si>
  <si>
    <t>469,2015-04-16,15:46,Violación,Centro,12/10/2000,Femenino,4,28/07/1954,Femenino,2,No,No aplica,No aplica,Dinero público desviado,Sí,No,Cerrado,No aplica</t>
  </si>
  <si>
    <t>470,2016-01-11,9:54,Violación,San Vicente,19/10/2001,Masculino,3,05/07/1960,Femenino,1,Sí,No aplica,No aplica,Evasión fiscal,Sí,No,Cerrado,80</t>
  </si>
  <si>
    <t>471,2019-04-25,14:43,Fraude,Pueyrredón,13/09/1963,Femenino,3,21/04/1986,Femenino,3,No,No aplica,No aplica,5kg de cocaína,Sí,No,Abierto,No aplica</t>
  </si>
  <si>
    <t>472,2023-02-11,23:19,Fraude,San Vicente,15/11/1987,Masculino,2,23/12/1979,Femenino,1,No,Arma de fuego,No aplica,"Auto modelo XXX, patente XXX XXX",No,No,Abierto,No aplica</t>
  </si>
  <si>
    <t>473,2016-05-19,20:25,Vandalismo,General Paz,05/08/1990,Masculino,1,09/10/1941,Masculino,1,Sí,No aplica,No aplica,No aplica,No,Sí,En investigación,19</t>
  </si>
  <si>
    <t>474,2016-12-02,13:47,Hurto,San Vicente,14/07/1984,Femenino,4,20/09/1987,Masculino,1,Sí,No aplica,No aplica,Lavado de dinero,No,Sí,En investigación,201</t>
  </si>
  <si>
    <t>475,2021-10-01,16:42,Amenazas,Alberdi,06/12/1979,Masculino,2,17/03/2008,Masculino,1,Sí,No aplica,No aplica,5kg de cocaína,No,No,Abierto,29</t>
  </si>
  <si>
    <t>476,2020-05-20,20:59,Homicidio,San Vicente,20/09/1992,Femenino,4,06/01/2011,Masculino,3,No,Arma blanca,No aplica,Laptop marca HP,No,Sí,Cerrado,No aplica</t>
  </si>
  <si>
    <t>477,2018-12-24,23:23,Homicidio,Alta Córdoba,06/12/1952,Masculino,5,27/05/1988,Masculino,3,Sí,No aplica,No aplica,Celular,Sí,Sí,Cerrado,44</t>
  </si>
  <si>
    <t>478,2019-11-26,13:46,Secuestro,Jardín Espinosa,25/10/1982,Femenino,2,16/03/1945,Femenino,1,No,No aplica,No aplica,Pasta base,No,Sí,Cerrado,No aplica</t>
  </si>
  <si>
    <t>479,2016-02-29,3:49,Robo,Alta Córdoba,26/05/2001,Masculino,1,27/01/1991,Masculino,3,Sí,No aplica,No aplica,Grafitis en edificios públicos,No,No,En investigación,277</t>
  </si>
  <si>
    <t>480,2024-01-09,11:02,Vandalismo,Pueyrredón,20/07/1985,Femenino,1,26/08/1987,Masculino,2,Sí,No aplica,No aplica,Estafa bancaria,Sí,No,Cerrado,47</t>
  </si>
  <si>
    <t>481,2018-08-03,13:03,Secuestro,Alberdi,15/01/2000,Femenino,1,18/07/1946,Masculino,1,Sí,No aplica,No aplica,Evasión fiscal,No,No,Abierto,9</t>
  </si>
  <si>
    <t>482,2019-09-11,19:21,Amenazas,General Paz,06/12/1980,Femenino,5,27/06/2013,Masculino,2,No,No aplica,No aplica,Ropa de marca,No,Sí,En investigación,No aplica</t>
  </si>
  <si>
    <t>483,2017-04-25,14:21,Delitos financieros,San Vicente,18/08/1975,Femenino,3,17/02/1998,Masculino,1,Sí,No aplica,No aplica,Vidrios de comercio rotos,No,No,Abierto,266</t>
  </si>
  <si>
    <t>484,2017-09-20,16:43,Amenazas,Jardín Espinosa,10/09/1962,Femenino,5,10/02/2012,Masculino,1,Sí,No aplica,No aplica,Contrato fraudulento,No,Sí,En investigación,105</t>
  </si>
  <si>
    <t>485,2018-06-15,11:30,Narcotráfico,Cerro de las Rosas,20/12/1967,Masculino,4,28/09/2003,Masculino,2,Sí,No aplica,No aplica,Dinero público desviado,No,No,Cerrado,239</t>
  </si>
  <si>
    <t>486,2016-10-09,13:27,Delitos financieros,Centro,19/09/1983,Femenino,4,04/10/1982,Femenino,2,No,No aplica,No aplica,Contrato fraudulento,No,No,Abierto,No aplica</t>
  </si>
  <si>
    <t>487,2019-10-04,12:20,Robo,Jardín Espinosa,06/10/2002,Femenino,4,16/07/2009,Masculino,3,No,No aplica,No aplica,Evasión fiscal,No,Sí,Abierto,No aplica</t>
  </si>
  <si>
    <t>488,2015-03-25,7:21,Narcotráfico,Centro,13/04/1987,Femenino,3,22/08/1944,Femenino,2,Sí,No aplica,Sin agravantes,No aplica,No,No,Cerrado,192</t>
  </si>
  <si>
    <t>489,2016-12-20,7:10,Narcotráfico,Alta Córdoba,22/09/2004,Femenino,3,09/05/2004,Femenino,3,Sí,No aplica,No aplica,No aplica,Sí,Sí,Cerrado,225</t>
  </si>
  <si>
    <t>490,2020-07-28,18:40,Narcotráfico,Alta Córdoba,23/05/1993,Masculino,3,22/06/2002,Femenino,1,Sí,Sin arma,No aplica,Laptop marca HP,No,Sí,En investigación,18</t>
  </si>
  <si>
    <t>491,2016-03-26,13:38,Homicidio,San Vicente,01/01/1956,Femenino,3,20/12/1986,Masculino,1,Sí,No aplica,No aplica,Contrato fraudulento,No,No,Cerrado,281</t>
  </si>
  <si>
    <t>492,2019-07-22,10:26,Amenazas,General Paz,19/05/1958,Masculino,1,02/06/1963,Masculino,2,No,No aplica,No aplica,Lavado de dinero,No,No,Abierto,No aplica</t>
  </si>
  <si>
    <t>493,2020-12-15,6:37,Violación,Nueva Córdoba,26/12/1963,Femenino,4,14/09/2012,Masculino,3,No,No aplica,Por vínculo,No aplica,No,Sí,Abierto,No aplica</t>
  </si>
  <si>
    <t>494,2022-11-30,15:51,Violación,Cerro de las Rosas,18/08/1982,Masculino,1,06/03/1950,Femenino,2,No,No aplica,No aplica,Vidrios de comercio rotos,No,No,Cerrado,No aplica</t>
  </si>
  <si>
    <t>495,2022-10-31,22:18,Vandalismo,San Vicente,25/06/1956,Masculino,1,27/12/1968,Femenino,3,No,Arma de fuego,No aplica,Laptop marca HP,Sí,No,Abierto,No aplica</t>
  </si>
  <si>
    <t>496,2018-02-27,23:06,Homicidio,Nueva Córdoba,13/02/1972,Masculino,3,17/08/2012,Femenino,3,No,No aplica,Alevosía,No aplica,No,No,Abierto,No aplica</t>
  </si>
  <si>
    <t>497,2022-12-01,13:37,Homicidio,Villa El Libertador,25/12/1959,Masculino,5,08/07/1965,Femenino,3,No,No aplica,No aplica,Dinero público desviado,No,Sí,Abierto,No aplica</t>
  </si>
  <si>
    <t>498,2024-12-28,7:45,Corrupción,Jardín Espinosa,28/03/1981,Masculino,4,18/12/1949,Femenino,3,Sí,No aplica,No aplica,Pasta base,No,Sí,En investigación,93</t>
  </si>
  <si>
    <t>499,2024-05-24,8:12,Homicidio,Pueyrredón,28/04/1962,Masculino,1,06/08/1992,Femenino,3,Sí,No aplica,No aplica,No aplica,No,Sí,Cerrado,120</t>
  </si>
  <si>
    <t>500,2024-01-01,12:37,Hurto,San Vicente,08/08/1955,Femenino,1,22/12/1952,Femenino,1,No,No aplica,No aplica,Estafa bancaria,Sí,Sí,En investigación,No aplica</t>
  </si>
  <si>
    <t>501,2024-07-03,16:53,Homicidio,Alta Córdoba,19/02/1976,Masculino,3,08/06/1970,Masculino,3,Sí,No aplica,No aplica,Plantas de marihuana,No,Sí,Cerrado,175</t>
  </si>
  <si>
    <t>502,2019-04-30,4:16,Violación,San Vicente,21/05/2006,Masculino,2,21/11/1940,Femenino,1,No,No aplica,No aplica,Plantas de marihuana,Sí,Sí,En investigación,No aplica</t>
  </si>
  <si>
    <t>503,2021-02-08,5:06,Narcotráfico,San Vicente,01/05/1966,Femenino,5,12/02/1969,Masculino,1,Sí,No aplica,No aplica,Grafitis en edificios públicos,No,No,En investigación,273</t>
  </si>
  <si>
    <t>504,2021-07-10,17:48,Narcotráfico,Centro,15/12/1972,Femenino,1,28/11/1977,Femenino,1,No,No aplica,No aplica,Estafa bancaria,Sí,Sí,Cerrado,No aplica</t>
  </si>
  <si>
    <t>505,2024-01-16,12:17,Corrupción,Nueva Córdoba,24/02/1960,Masculino,2,12/06/1985,Femenino,1,No,No aplica,No aplica,Estafa bancaria,No,No,En investigación,No aplica</t>
  </si>
  <si>
    <t>506,2024-07-22,22:19,Violación,IPV Argüello,16/06/1991,Masculino,2,13/07/2008,Masculino,3,Sí,No aplica,No aplica,Bicicleta,No,Sí,Abierto,251</t>
  </si>
  <si>
    <t>507,2018-12-09,15:44,Homicidio,Nueva Córdoba,15/02/1967,Masculino,1,03/08/2003,Femenino,3,Sí,No aplica,No aplica,Contrato fraudulento,No,No,Cerrado,28</t>
  </si>
  <si>
    <t>508,2023-05-28,22:15,Vandalismo,Centro,09/12/1986,Masculino,2,17/08/1960,Femenino,3,Sí,Arma blanca,Por vínculo,No aplica,Sí,Sí,Cerrado,238</t>
  </si>
  <si>
    <t>509,2015-09-22,23:13,Violencia de género,Argüello,22/10/1962,Femenino,3,06/12/1953,Femenino,1,No,Sin arma,Sin agravantes,No aplica,Sí,Sí,Abierto,No aplica</t>
  </si>
  <si>
    <t>510,2020-06-20,22:14,Hurto,Centro,20/06/1974,Masculino,4,20/06/1998,Femenino,3,No,Sin arma,No aplica,Laptop marca HP,No,Sí,Cerrado,No aplica</t>
  </si>
  <si>
    <t>511,2021-03-22,9:26,Amenazas,Jardín Espinosa,01/01/2000,Femenino,2,02/06/2003,Femenino,1,Sí,No aplica,No aplica,Dinero público desviado,No,No,Cerrado,141</t>
  </si>
  <si>
    <t>512,2023-02-12,0:28,Corrupción,General Paz,02/04/1981,Masculino,5,24/02/1959,Masculino,3,Sí,No aplica,No aplica,Plantas de marihuana,No,No,En investigación,161</t>
  </si>
  <si>
    <t>513,2021-10-23,21:18,Violación,Alberdi,13/04/1957,Masculino,4,26/02/1941,Masculino,3,Sí,No aplica,No aplica,Cartera con documentación,No,No,Cerrado,128</t>
  </si>
  <si>
    <t>514,2016-02-18,21:32,Vandalismo,Alta Córdoba,10/03/1955,Femenino,1,05/06/1988,Femenino,1,No,No aplica,No aplica,No aplica,No,No,En investigación,No aplica</t>
  </si>
  <si>
    <t>515,2019-08-01,19:11,Secuestro,Alta Córdoba,17/08/1984,Femenino,3,01/06/2012,Femenino,3,Sí,No aplica,No aplica,Bicicleta,Sí,No,Abierto,108</t>
  </si>
  <si>
    <t>516,2022-01-07,19:38,Corrupción,Centro,16/11/1956,Masculino,4,15/06/2001,Masculino,2,Sí,Objeto contundente,Alevosía,No aplica,Sí,No,Cerrado,264</t>
  </si>
  <si>
    <t>517,2019-11-17,23:59,Fraude,San Vicente,03/10/1963,Femenino,2,10/09/1997,Masculino,2,No,No aplica,No aplica,5kg de cocaína,No,Sí,En investigación,No aplica</t>
  </si>
  <si>
    <t>518,2023-11-10,19:17,Violación,Alta Córdoba,21/03/1979,Masculino,5,13/05/1980,Femenino,1,Sí,Arma de fuego,Alevosía,No aplica,No,No,Cerrado,252</t>
  </si>
  <si>
    <t>519,2018-09-29,19:19,Secuestro,Alberdi,01/04/1990,Femenino,3,05/07/1952,Femenino,1,Sí,No aplica,No aplica,5kg de cocaína,No,No,En investigación,132</t>
  </si>
  <si>
    <t>520,2022-11-29,20:30,Secuestro,Pueyrredón,03/11/1954,Masculino,5,21/06/1987,Femenino,2,Sí,Arma de fuego,Alevosía,No aplica,No,Sí,Cerrado,146</t>
  </si>
  <si>
    <t>521,2021-07-01,3:28,Secuestro,San Vicente,10/10/1976,Femenino,5,16/01/2002,Femenino,2,No,No aplica,No aplica,Grafitis en edificios públicos,Sí,No,Cerrado,No aplica</t>
  </si>
  <si>
    <t>522,2020-06-08,18:21,Delitos financieros,Villa El Libertador,16/11/2002,Masculino,5,07/07/2005,Masculino,3,Sí,No aplica,No aplica,Plantas de marihuana,Sí,No,Abierto,7</t>
  </si>
  <si>
    <t>523,2017-10-30,7:08,Corrupción,Pueyrredón,27/02/1978,Femenino,3,27/09/2001,Femenino,2,No,No aplica,Alevosía,No aplica,Sí,Sí,Abierto,No aplica</t>
  </si>
  <si>
    <t>524,2024-06-10,11:30,Corrupción,Cerro de las Rosas,25/06/2004,Femenino,1,07/02/1949,Masculino,1,Sí,No aplica,No aplica,Lavado de dinero,No,No,Cerrado,99</t>
  </si>
  <si>
    <t>525,2016-04-20,14:19,Vandalismo,Argüello,11/12/1954,Femenino,5,08/04/1943,Femenino,1,No,No aplica,No aplica,Evasión fiscal,Sí,No,Cerrado,No aplica</t>
  </si>
  <si>
    <t>526,2016-06-09,23:27,Secuestro,Centro,09/09/1992,Masculino,1,10/11/2008,Femenino,1,Sí,Objeto contundente,Alevosía,No aplica,No,Sí,Cerrado,105</t>
  </si>
  <si>
    <t>527,2022-06-11,22:08,Violación,IPV Argüello,06/12/1953,Masculino,1,22/06/1972,Femenino,1,No,No aplica,No aplica,Cartera con documentación,No,Sí,Cerrado,No aplica</t>
  </si>
  <si>
    <t>528,2022-07-15,23:21,Narcotráfico,Cerro de las Rosas,07/07/1976,Masculino,5,19/06/2015,Masculino,3,No,Sin arma,No aplica,"Celular, tarjetas bancarias",No,Sí,En investigación,No aplica</t>
  </si>
  <si>
    <t>529,2017-11-26,14:01,Narcotráfico,Villa El Libertador,24/09/1997,Femenino,4,05/02/1976,Femenino,3,No,No aplica,No aplica,Vidrios de comercio rotos,Sí,Sí,Abierto,No aplica</t>
  </si>
  <si>
    <t>530,2017-02-17,9:11,Narcotráfico,Jardín Espinosa,16/03/1998,Femenino,3,25/06/1979,Masculino,1,No,No aplica,No aplica,Evasión fiscal,Sí,Sí,En investigación,No aplica</t>
  </si>
  <si>
    <t>531,2023-06-16,13:14,Secuestro,Argüello,02/07/1963,Femenino,1,09/03/1980,Masculino,3,Sí,No aplica,No aplica,Dinero público desviado,No,Sí,Cerrado,243</t>
  </si>
  <si>
    <t>532,2023-10-02,6:11,Homicidio,Nueva Córdoba,12/10/1953,Femenino,2,17/01/1966,Femenino,1,Sí,No aplica,Alevosía,No aplica,No,Sí,En investigación,283</t>
  </si>
  <si>
    <t>533,2016-12-15,10:08,Homicidio,Centro,18/06/1955,Masculino,1,02/12/1988,Masculino,1,Sí,No aplica,No aplica,Pasta base,No,Sí,Abierto,250</t>
  </si>
  <si>
    <t>534,2024-11-26,9:37,Corrupción,Centro,09/08/1968,Femenino,2,06/01/1951,Masculino,2,Sí,No aplica,No aplica,Estafa bancaria,No,No,Cerrado,51</t>
  </si>
  <si>
    <t>535,2022-08-15,12:51,Vandalismo,Villa El Libertador,11/02/1952,Masculino,4,05/02/1966,Masculino,2,Sí,No aplica,No aplica,Cuentas falsas,No,Sí,Cerrado,74</t>
  </si>
  <si>
    <t>536,2023-12-14,13:09,Violencia de género,Cerro de las Rosas,02/08/2002,Femenino,5,05/10/1956,Masculino,3,Sí,No aplica,No aplica,Pasta base,No,No,Abierto,64</t>
  </si>
  <si>
    <t>537,2016-10-22,15:53,Robo,Pueyrredón,10/02/1998,Masculino,4,25/03/2003,Masculino,3,Sí,No aplica,No aplica,Contrato fraudulento,No,Sí,En investigación,300</t>
  </si>
  <si>
    <t>538,2023-11-15,19:00,Delitos financieros,Cerro de las Rosas,10/04/1986,Masculino,3,05/09/1978,Femenino,2,Sí,Arma de fuego,Con ensañamiento,No aplica,No,Sí,Cerrado,247</t>
  </si>
  <si>
    <t>539,2021-08-26,20:30,Vandalismo,San Vicente,28/11/2001,Femenino,4,18/06/2008,Masculino,3,Sí,Arma de fuego,Por vínculo,No aplica,Sí,Sí,Cerrado,61</t>
  </si>
  <si>
    <t>540,2023-06-28,10:04,Robo,General Paz,11/05/1990,Femenino,1,13/12/1985,Masculino,2,No,No aplica,No aplica,Estafa bancaria,No,Sí,En investigación,No aplica</t>
  </si>
  <si>
    <t>541,2017-02-09,18:11,Narcotráfico,IPV Argüello,27/09/1963,Masculino,3,05/02/1976,Masculino,1,Sí,Objeto contundente,Alevosía,No aplica,No,No,Abierto,90</t>
  </si>
  <si>
    <t>542,2023-03-03,19:20,Narcotráfico,General Paz,03/12/1970,Femenino,1,22/09/1974,Femenino,1,Sí,Arma blanca,Con ensañamiento,No aplica,No,No,En investigación,15</t>
  </si>
  <si>
    <t>543,2019-04-27,16:09,Violencia de género,IPV Argüello,27/05/1952,Femenino,1,16/04/1983,Masculino,2,Sí,No aplica,No aplica,Lavado de dinero,No,Sí,Abierto,91</t>
  </si>
  <si>
    <t>544,2018-01-23,7:47,Violencia de género,Argüello,16/05/1984,Femenino,5,06/02/1957,Masculino,3,Sí,No aplica,No aplica,Plantas de marihuana,Sí,No,Abierto,95</t>
  </si>
  <si>
    <t>545,2016-05-13,5:04,Delitos financieros,Centro,24/05/1983,Masculino,1,03/09/1959,Femenino,1,No,No aplica,Por vínculo,No aplica,No,No,Cerrado,No aplica</t>
  </si>
  <si>
    <t>546,2015-04-26,14:55,Hurto,Argüello,14/09/1991,Femenino,4,21/04/1977,Femenino,2,No,No aplica,Sin agravantes,No aplica,Sí,No,En investigación,No aplica</t>
  </si>
  <si>
    <t>547,2022-02-11,22:56,Secuestro,Pueyrredón,27/08/2006,Femenino,1,23/08/2008,Femenino,1,Sí,Sin arma,No aplica,"Celular, tarjetas bancarias",No,No,Cerrado,298</t>
  </si>
  <si>
    <t>548,2021-05-12,17:46,Secuestro,Centro,24/02/1960,Femenino,4,25/03/1987,Masculino,2,No,No aplica,No aplica,Contrato fraudulento,No,No,Cerrado,No aplica</t>
  </si>
  <si>
    <t>549,2018-12-22,21:23,Violencia de género,Cerro de las Rosas,28/11/1955,Masculino,5,10/06/2013,Femenino,2,No,No aplica,No aplica,Celular,Sí,Sí,Cerrado,No aplica</t>
  </si>
  <si>
    <t>550,2024-04-12,21:42,Secuestro,Centro,14/04/1989,Femenino,5,19/04/1947,Femenino,3,Sí,No aplica,No aplica,Ropa de marca,No,No,Cerrado,111</t>
  </si>
  <si>
    <t>551,2015-12-18,13:00,Fraude,Pueyrredón,22/06/1970,Femenino,3,09/06/1985,Masculino,2,Sí,No aplica,Por vínculo,No aplica,No,Sí,En investigación,205</t>
  </si>
  <si>
    <t>552,2024-01-02,21:01,Robo,Alta Córdoba,14/12/1987,Femenino,2,15/03/1963,Femenino,2,Sí,Objeto contundente,Con ensañamiento,No aplica,Sí,No,Abierto,254</t>
  </si>
  <si>
    <t>553,2015-10-23,8:27,Hurto,Nueva Córdoba,19/07/1966,Masculino,1,21/02/1983,Femenino,1,No,No aplica,No aplica,Vidrios de comercio rotos,No,No,Cerrado,No aplica</t>
  </si>
  <si>
    <t>554,2019-01-19,22:53,Hurto,Villa El Libertador,02/08/1982,Femenino,4,11/05/1983,Femenino,1,Sí,No aplica,No aplica,Celular,No,No,Cerrado,33</t>
  </si>
  <si>
    <t>555,2016-09-11,0:47,Violación,Pueyrredón,11/10/1981,Femenino,1,01/06/2011,Masculino,1,Sí,No aplica,No aplica,No aplica,No,Sí,Abierto,73</t>
  </si>
  <si>
    <t>556,2019-06-29,19:25,Amenazas,Centro,24/05/1975,Femenino,4,08/08/1972,Masculino,3,No,Sin arma,Por vínculo,No aplica,No,Sí,En investigación,No aplica</t>
  </si>
  <si>
    <t>557,2023-03-05,11:38,Homicidio,Centro,22/09/1962,Masculino,1,18/03/1992,Femenino,3,Sí,No aplica,No aplica,Cuentas falsas,Sí,Sí,Abierto,109</t>
  </si>
  <si>
    <t>558,2017-03-04,19:50,Violencia de género,Jardín Espinosa,03/01/1966,Femenino,4,26/10/2007,Masculino,3,No,Objeto contundente,No aplica,Laptop marca HP,Sí,Sí,Abierto,No aplica</t>
  </si>
  <si>
    <t>559,2016-12-28,17:55,Corrupción,Alberdi,19/11/1983,Femenino,4,28/03/1990,Femenino,1,Sí,No aplica,Por vínculo,No aplica,No,No,Abierto,55</t>
  </si>
  <si>
    <t>560,2022-03-29,23:36,Vandalismo,General Paz,28/03/1979,Masculino,2,16/09/2009,Masculino,2,Sí,No aplica,No aplica,Plantas de marihuana,Sí,No,Abierto,193</t>
  </si>
  <si>
    <t>561,2023-12-01,3:57,Violación,Cerro de las Rosas,20/06/1990,Femenino,5,25/08/1992,Masculino,3,Sí,No aplica,No aplica,Plantas de marihuana,No,No,En investigación,166</t>
  </si>
  <si>
    <t>562,2021-03-29,13:20,Fraude,IPV Argüello,16/03/2002,Femenino,3,11/05/1964,Femenino,1,No,No aplica,No aplica,Contrato fraudulento,Sí,No,Cerrado,No aplica</t>
  </si>
  <si>
    <t>563,2019-07-06,17:51,Homicidio,Jardín Espinosa,28/08/2006,Femenino,5,03/04/1951,Femenino,3,No,No aplica,No aplica,Plantas de marihuana,No,No,En investigación,No aplica</t>
  </si>
  <si>
    <t>564,2016-03-17,16:29,Narcotráfico,Pueyrredón,14/09/1965,Masculino,5,25/05/2000,Masculino,1,Sí,No aplica,No aplica,5kg de cocaína,Sí,Sí,Cerrado,295</t>
  </si>
  <si>
    <t>565,2024-08-29,21:11,Amenazas,Pueyrredón,10/08/2004,Femenino,3,13/10/1988,Femenino,1,No,No aplica,No aplica,Grafitis en edificios públicos,Sí,No,Cerrado,No aplica</t>
  </si>
  <si>
    <t>566,2017-10-30,16:24,Violencia de género,Cerro de las Rosas,08/07/1989,Masculino,4,06/06/2006,Masculino,3,Sí,No aplica,No aplica,Estafa bancaria,No,Sí,Abierto,221</t>
  </si>
  <si>
    <t>567,2024-04-30,23:02,Violencia de género,Nueva Córdoba,26/06/1955,Masculino,5,22/12/1994,Femenino,3,Sí,Objeto contundente,No aplica,"Auto modelo XXX, patente XXX XXX",No,No,Abierto,179</t>
  </si>
  <si>
    <t>568,2019-09-09,20:27,Secuestro,Jardín Espinosa,18/04/1953,Masculino,5,15/03/2010,Masculino,1,No,No aplica,No aplica,Cartera con documentación,No,Sí,Cerrado,No aplica</t>
  </si>
  <si>
    <t>569,2020-02-06,12:23,Corrupción,Pueyrredón,28/10/1977,Masculino,1,12/10/1985,Femenino,2,No,No aplica,No aplica,Lavado de dinero,No,No,Cerrado,No aplica</t>
  </si>
  <si>
    <t>570,2015-10-03,14:49,Narcotráfico,San Vicente,27/12/1999,Femenino,1,28/04/2006,Masculino,2,Sí,No aplica,No aplica,Pasta base,No,No,Cerrado,16</t>
  </si>
  <si>
    <t>571,2020-04-27,12:52,Corrupción,Jardín Espinosa,11/12/2000,Femenino,2,23/05/1971,Femenino,1,No,No aplica,No aplica,Vidrios de comercio rotos,Sí,Sí,Cerrado,No aplica</t>
  </si>
  <si>
    <t>572,2021-06-26,18:24,Fraude,Nueva Córdoba,19/03/1981,Masculino,2,11/07/1959,Masculino,1,No,Sin arma,Alevosía,No aplica,No,Sí,Cerrado,No aplica</t>
  </si>
  <si>
    <t>573,2021-05-23,22:55,Amenazas,IPV Argüello,17/03/1979,Masculino,1,25/07/2010,Femenino,2,No,Sin arma,No aplica,"Auto modelo XXX, patente XXX XXX",No,No,Cerrado,No aplica</t>
  </si>
  <si>
    <t>574,2015-04-17,23:08,Secuestro,Centro,05/05/1988,Masculino,2,05/12/2001,Femenino,1,Sí,No aplica,No aplica,Ropa de marca,No,No,Cerrado,194</t>
  </si>
  <si>
    <t>575,2018-06-13,12:17,Secuestro,IPV Argüello,03/04/1991,Femenino,1,19/12/2008,Masculino,3,No,No aplica,No aplica,No aplica,Sí,No,Abierto,No aplica</t>
  </si>
  <si>
    <t>576,2016-03-02,10:43,Homicidio,Argüello,05/05/1970,Masculino,2,24/10/1957,Femenino,3,Sí,No aplica,No aplica,Evasión fiscal,Sí,Sí,Cerrado,47</t>
  </si>
  <si>
    <t>577,2017-12-27,18:01,Corrupción,Pueyrredón,16/11/1978,Masculino,5,23/07/2011,Masculino,2,No,Objeto contundente,Alevosía,No aplica,Sí,Sí,Cerrado,No aplica</t>
  </si>
  <si>
    <t>578,2016-07-10,15:17,Amenazas,Centro,22/04/1998,Femenino,1,08/11/1985,Masculino,2,Sí,No aplica,Por vínculo,No aplica,Sí,No,En investigación,76</t>
  </si>
  <si>
    <t>579,2017-10-18,20:55,Violencia de género,Pueyrredón,07/10/1996,Femenino,4,24/01/1980,Femenino,2,No,Arma de fuego,Sin agravantes,No aplica,No,No,En investigación,No aplica</t>
  </si>
  <si>
    <t>580,2019-11-17,18:50,Robo,Cerro de las Rosas,04/12/1992,Femenino,3,09/11/1941,Masculino,1,Sí,Arma de fuego,No aplica,"Billetera con $15,000 ARG",Sí,Sí,Cerrado,48</t>
  </si>
  <si>
    <t>581,2021-06-08,21:51,Narcotráfico,Centro,04/05/1992,Femenino,3,16/08/1941,Femenino,2,No,No aplica,No aplica,Bicicleta,No,Sí,Abierto,No aplica</t>
  </si>
  <si>
    <t>582,2024-01-07,23:42,Corrupción,San Vicente,26/12/1951,Masculino,4,22/02/1991,Masculino,3,No,Arma de fuego,No aplica,"Celular, tarjetas bancarias",No,No,Abierto,No aplica</t>
  </si>
  <si>
    <t>583,2024-05-15,7:09,Robo,Villa El Libertador,04/09/1994,Femenino,2,28/02/1956,Masculino,3,No,No aplica,No aplica,5kg de cocaína,Sí,No,Cerrado,No aplica</t>
  </si>
  <si>
    <t>584,2021-09-01,10:45,Hurto,Argüello,16/06/2000,Masculino,5,05/01/1961,Masculino,2,Sí,No aplica,No aplica,Cuentas falsas,No,Sí,En investigación,102</t>
  </si>
  <si>
    <t>585,2020-01-06,13:43,Vandalismo,Pueyrredón,08/01/1978,Femenino,2,20/06/1978,Masculino,1,Sí,No aplica,No aplica,No aplica,Sí,No,En investigación,288</t>
  </si>
  <si>
    <t>586,2016-07-27,7:31,Homicidio,General Paz,22/06/1994,Femenino,3,27/02/1944,Masculino,2,No,No aplica,No aplica,5kg de cocaína,No,Sí,En investigación,No aplica</t>
  </si>
  <si>
    <t>587,2018-12-01,20:11,Vandalismo,Pueyrredón,15/11/1983,Femenino,2,06/11/1995,Femenino,2,No,Sin arma,Con ensañamiento,No aplica,No,No,Cerrado,No aplica</t>
  </si>
  <si>
    <t>588,2018-09-15,20:35,Amenazas,San Vicente,02/01/1981,Masculino,2,12/09/1961,Masculino,2,No,No aplica,No aplica,5kg de cocaína,No,Sí,Cerrado,No aplica</t>
  </si>
  <si>
    <t>589,2022-01-13,14:35,Robo,Argüello,24/03/1992,Femenino,4,25/05/1940,Femenino,2,Sí,No aplica,No aplica,Lavado de dinero,Sí,No,Abierto,33</t>
  </si>
  <si>
    <t>590,2024-05-24,22:04,Robo,Jardín Espinosa,20/10/2006,Masculino,1,02/02/2010,Femenino,1,No,Arma blanca,No aplica,"Celular, tarjetas bancarias",Sí,Sí,Cerrado,No aplica</t>
  </si>
  <si>
    <t>591,2022-12-28,21:26,Fraude,San Vicente,16/09/1951,Masculino,5,18/09/1983,Masculino,1,Sí,No aplica,No aplica,Bicicleta,Sí,No,Abierto,240</t>
  </si>
  <si>
    <t>592,2017-05-27,19:47,Violencia de género,IPV Argüello,27/05/1973,Femenino,3,09/09/2014,Masculino,2,Sí,No aplica,No aplica,No aplica,No,No,Cerrado,253</t>
  </si>
  <si>
    <t>593,2019-03-28,17:31,Robo,Argüello,22/06/1991,Masculino,5,03/07/2012,Masculino,1,No,No aplica,No aplica,Evasión fiscal,Sí,No,Cerrado,No aplica</t>
  </si>
  <si>
    <t>594,2020-12-07,16:16,Amenazas,Argüello,27/02/1979,Masculino,1,04/01/1970,Masculino,1,No,No aplica,Por vínculo,No aplica,Sí,Sí,Abierto,No aplica</t>
  </si>
  <si>
    <t>595,2023-03-26,20:24,Hurto,Cerro de las Rosas,23/12/2002,Masculino,5,25/05/1991,Masculino,1,No,No aplica,No aplica,Bicicleta,Sí,No,Cerrado,No aplica</t>
  </si>
  <si>
    <t>596,2018-01-17,20:01,Hurto,General Paz,05/02/1952,Femenino,3,15/06/1949,Masculino,1,Sí,No aplica,No aplica,Ropa de marca,No,Sí,Cerrado,32</t>
  </si>
  <si>
    <t>597,2018-08-01,22:11,Amenazas,General Paz,03/07/2002,Femenino,5,16/09/2013,Masculino,3,Sí,Sin arma,No aplica,"Auto modelo XXX, patente XXX XXX",No,No,Cerrado,183</t>
  </si>
  <si>
    <t>598,2022-03-31,17:38,Fraude,Villa El Libertador,19/06/1970,Femenino,4,06/08/1950,Masculino,3,No,No aplica,No aplica,5kg de cocaína,No,Sí,Cerrado,No aplica</t>
  </si>
  <si>
    <t>599,2019-10-15,21:58,Hurto,Alta Córdoba,01/08/2003,Femenino,4,05/06/2012,Masculino,1,Sí,No aplica,Por vínculo,No aplica,No,No,Abierto,198</t>
  </si>
  <si>
    <t>600,2015-07-10,16:33,Secuestro,IPV Argüello,25/04/1950,Masculino,5,15/02/1993,Masculino,1,No,No aplica,No aplica,No aplica,No,No,Cerrado,No aplica</t>
  </si>
  <si>
    <t>601,2024-05-13,17:28,Secuestro,Argüello,01/03/1994,Masculino,3,03/03/1943,Masculino,2,Sí,No aplica,No aplica,Lavado de dinero,No,No,Abierto,21</t>
  </si>
  <si>
    <t>602,2018-05-13,11:11,Hurto,Cerro de las Rosas,19/11/1999,Masculino,3,27/11/1972,Femenino,3,Sí,No aplica,No aplica,Lavado de dinero,No,No,Cerrado,221</t>
  </si>
  <si>
    <t>603,2020-04-22,17:14,Secuestro,Pueyrredón,13/12/1972,Femenino,3,19/01/1989,Femenino,1,No,No aplica,No aplica,No aplica,No,Sí,Cerrado,No aplica</t>
  </si>
  <si>
    <t>604,2016-03-31,2:22,Homicidio,Alberdi,22/12/1963,Masculino,5,03/01/1991,Masculino,3,No,No aplica,No aplica,Grafitis en edificios públicos,Sí,No,En investigación,No aplica</t>
  </si>
  <si>
    <t>605,2018-12-12,6:01,Narcotráfico,Cerro de las Rosas,25/04/1959,Femenino,5,20/12/1987,Masculino,2,No,No aplica,No aplica,Plantas de marihuana,No,Sí,Cerrado,No aplica</t>
  </si>
  <si>
    <t>606,2018-08-06,7:51,Violencia de género,Nueva Córdoba,02/10/1975,Masculino,3,08/09/1943,Masculino,2,No,No aplica,No aplica,No aplica,No,Sí,En investigación,No aplica</t>
  </si>
  <si>
    <t>607,2019-12-05,19:22,Violación,Argüello,06/11/1988,Femenino,5,02/01/1952,Masculino,1,Sí,No aplica,No aplica,Cartera con documentación,No,No,Abierto,256</t>
  </si>
  <si>
    <t>608,2019-01-27,23:59,Narcotráfico,Cerro de las Rosas,21/08/1985,Masculino,5,25/08/1941,Masculino,1,Sí,Sin arma,No aplica,Laptop marca HP,No,No,Cerrado,11</t>
  </si>
  <si>
    <t>609,2015-02-26,18:28,Robo,Nueva Córdoba,08/10/1967,Femenino,1,08/08/1957,Femenino,1,No,Arma blanca,No aplica,"Celular, tarjetas bancarias",Sí,Sí,Cerrado,No aplica</t>
  </si>
  <si>
    <t>610,2019-12-01,11:03,Secuestro,Pueyrredón,25/12/1994,Femenino,2,14/08/1979,Femenino,3,No,No aplica,No aplica,Estafa bancaria,No,No,Abierto,No aplica</t>
  </si>
  <si>
    <t>611,2020-01-27,9:54,Violencia de género,Argüello,01/12/1950,Masculino,1,28/09/1997,Femenino,3,No,No aplica,No aplica,No aplica,Sí,No,Abierto,No aplica</t>
  </si>
  <si>
    <t>612,2019-06-17,19:37,Violencia de género,Alta Córdoba,06/11/1980,Femenino,2,02/09/1987,Masculino,3,Sí,Sin arma,No aplica,Laptop marca HP,No,Sí,Cerrado,53</t>
  </si>
  <si>
    <t>613,2022-10-21,21:15,Fraude,General Paz,28/03/1993,Masculino,1,10/03/2001,Masculino,3,Sí,Arma de fuego,Alevosía,No aplica,Sí,No,Abierto,230</t>
  </si>
  <si>
    <t>614,2016-04-07,10:22,Violencia de género,Jardín Espinosa,06/12/1991,Femenino,3,01/08/1976,Masculino,2,No,No aplica,No aplica,Evasión fiscal,No,Sí,Cerrado,No aplica</t>
  </si>
  <si>
    <t>615,2019-02-27,9:35,Delitos financieros,IPV Argüello,09/02/1976,Masculino,2,20/04/1978,Masculino,3,No,No aplica,No aplica,Dinero público desviado,No,Sí,Cerrado,No aplica</t>
  </si>
  <si>
    <t>616,2020-05-07,12:07,Corrupción,Villa El Libertador,19/07/1962,Masculino,1,15/05/2003,Masculino,1,No,No aplica,No aplica,Evasión fiscal,No,No,Abierto,No aplica</t>
  </si>
  <si>
    <t>617,2022-09-30,21:10,Fraude,Nueva Córdoba,26/07/1988,Masculino,5,06/07/1998,Masculino,3,Sí,Arma blanca,Alevosía,No aplica,No,No,Cerrado,111</t>
  </si>
  <si>
    <t>618,2023-03-27,20:20,Delitos financieros,Villa El Libertador,25/12/1956,Masculino,3,24/11/1944,Femenino,1,No,No aplica,No aplica,Celular,No,No,Cerrado,No aplica</t>
  </si>
  <si>
    <t>619,2018-08-26,16:20,Narcotráfico,Nueva Córdoba,06/02/1956,Femenino,2,23/06/1983,Femenino,2,No,No aplica,No aplica,Contrato fraudulento,Sí,No,En investigación,No aplica</t>
  </si>
  <si>
    <t>620,2023-01-13,23:54,Hurto,Argüello,08/04/1951,Masculino,2,16/09/1975,Femenino,1,No,Arma de fuego,Sin agravantes,No aplica,Sí,No,Cerrado,No aplica</t>
  </si>
  <si>
    <t>621,2017-10-12,16:26,Robo,IPV Argüello,24/05/1988,Femenino,2,02/07/1963,Masculino,1,No,No aplica,No aplica,Dinero público desviado,No,Sí,Abierto,No aplica</t>
  </si>
  <si>
    <t>622,2018-05-23,16:53,Amenazas,Pueyrredón,04/03/1989,Masculino,3,05/02/2001,Femenino,3,No,No aplica,No aplica,Lavado de dinero,No,No,Abierto,No aplica</t>
  </si>
  <si>
    <t>623,2015-09-07,22:06,Narcotráfico,Villa El Libertador,07/08/1975,Femenino,4,06/02/1974,Femenino,3,Sí,No aplica,No aplica,Vidrios de comercio rotos,No,No,Cerrado,73</t>
  </si>
  <si>
    <t>624,2021-10-20,22:11,Delitos financieros,Cerro de las Rosas,15/01/1980,Femenino,1,16/03/2014,Masculino,1,No,Sin arma,Alevosía,No aplica,No,No,Abierto,No aplica</t>
  </si>
  <si>
    <t>625,2024-04-24,12:00,Violación,IPV Argüello,23/04/1969,Masculino,3,02/08/1963,Femenino,1,No,No aplica,Con ensañamiento,No aplica,Sí,Sí,En investigación,No aplica</t>
  </si>
  <si>
    <t>626,2021-08-07,13:32,Vandalismo,Nueva Córdoba,25/11/1980,Masculino,2,10/11/2001,Masculino,3,No,No aplica,Con ensañamiento,No aplica,No,No,Cerrado,No aplica</t>
  </si>
  <si>
    <t>627,2023-02-23,17:19,Vandalismo,Cerro de las Rosas,12/02/1998,Masculino,1,13/07/2001,Masculino,3,Sí,No aplica,No aplica,Contrato fraudulento,Sí,No,Cerrado,212</t>
  </si>
  <si>
    <t>628,2022-05-06,0:12,Delitos financieros,Jardín Espinosa,25/08/1985,Femenino,5,04/04/1997,Masculino,2,No,No aplica,No aplica,No aplica,No,Sí,Cerrado,No aplica</t>
  </si>
  <si>
    <t>629,2022-06-04,13:30,Delitos financieros,Alberdi,02/10/1989,Masculino,2,26/12/1943,Masculino,3,No,No aplica,Con ensañamiento,No aplica,No,Sí,Abierto,No aplica</t>
  </si>
  <si>
    <t>630,2016-02-13,16:57,Secuestro,Centro,12/10/2002,Femenino,4,08/10/1945,Masculino,2,Sí,No aplica,No aplica,Cuentas falsas,No,No,Abierto,6</t>
  </si>
  <si>
    <t>631,2024-10-13,13:22,Narcotráfico,Villa El Libertador,05/10/1996,Masculino,1,11/03/1969,Femenino,2,Sí,No aplica,Sin agravantes,No aplica,No,No,Cerrado,102</t>
  </si>
  <si>
    <t>632,2024-12-03,10:44,Hurto,San Vicente,28/10/2000,Masculino,1,21/11/1965,Masculino,2,No,No aplica,No aplica,Cuentas falsas,No,No,Cerrado,No aplica</t>
  </si>
  <si>
    <t>633,2023-12-25,22:33,Secuestro,General Paz,12/08/1955,Masculino,3,10/09/2006,Masculino,1,No,No aplica,No aplica,No aplica,No,No,Cerrado,No aplica</t>
  </si>
  <si>
    <t>634,2023-09-01,13:03,Vandalismo,Jardín Espinosa,12/10/1981,Masculino,2,10/01/2009,Femenino,3,Sí,No aplica,No aplica,Cuentas falsas,No,No,Cerrado,241</t>
  </si>
  <si>
    <t>635,2020-12-28,12:21,Amenazas,IPV Argüello,02/12/1983,Masculino,3,16/02/1960,Femenino,1,No,No aplica,No aplica,Cuentas falsas,No,Sí,Abierto,No aplica</t>
  </si>
  <si>
    <t>636,2024-04-03,4:32,Hurto,Alta Córdoba,28/12/1968,Femenino,3,19/01/2004,Femenino,3,Sí,No aplica,No aplica,Vidrios de comercio rotos,No,Sí,Cerrado,216</t>
  </si>
  <si>
    <t>637,2020-12-31,10:18,Secuestro,General Paz,05/01/1971,Femenino,2,17/12/1949,Femenino,3,Sí,No aplica,No aplica,Estafa bancaria,No,No,Cerrado,110</t>
  </si>
  <si>
    <t>638,2021-04-16,15:45,Fraude,General Paz,09/05/1966,Femenino,1,07/10/1969,Masculino,1,No,No aplica,No aplica,Dinero público desviado,No,Sí,Abierto,No aplica</t>
  </si>
  <si>
    <t>639,2019-09-20,20:47,Homicidio,Alberdi,11/12/1986,Masculino,3,14/11/1968,Masculino,1,No,Arma de fuego,No aplica,"Billetera con $15,000 ARG",Sí,No,Abierto,No aplica</t>
  </si>
  <si>
    <t>640,2024-05-07,6:55,Narcotráfico,Jardín Espinosa,28/09/1996,Femenino,2,08/06/2014,Masculino,3,Sí,No aplica,No aplica,Vidrios de comercio rotos,No,Sí,Cerrado,47</t>
  </si>
  <si>
    <t>641,2017-02-16,3:40,Amenazas,Jardín Espinosa,24/05/1959,Femenino,2,18/02/2006,Femenino,2,No,No aplica,Con ensañamiento,No aplica,No,No,Cerrado,No aplica</t>
  </si>
  <si>
    <t>642,2019-10-27,17:50,Violencia de género,Pueyrredón,14/03/1999,Masculino,2,15/05/1944,Femenino,1,No,No aplica,Alevosía,No aplica,No,No,Abierto,No aplica</t>
  </si>
  <si>
    <t>643,2022-02-18,4:33,Violación,Pueyrredón,15/08/1953,Masculino,5,16/02/1950,Masculino,1,Sí,No aplica,Sin agravantes,No aplica,No,Sí,Cerrado,80</t>
  </si>
  <si>
    <t>644,2022-05-25,16:19,Violencia de género,Jardín Espinosa,18/04/1997,Masculino,4,18/12/1940,Masculino,2,Sí,No aplica,No aplica,Lavado de dinero,No,No,Abierto,210</t>
  </si>
  <si>
    <t>645,2019-04-20,11:12,Fraude,Alberdi,22/06/2000,Masculino,4,02/11/1985,Masculino,2,No,No aplica,No aplica,Cuentas falsas,No,No,Cerrado,No aplica</t>
  </si>
  <si>
    <t>646,2015-11-18,20:40,Secuestro,General Paz,15/06/1993,Femenino,4,24/11/1967,Masculino,1,Sí,Arma de fuego,Sin agravantes,No aplica,Sí,No,Abierto,128</t>
  </si>
  <si>
    <t>647,2022-09-01,22:01,Vandalismo,IPV Argüello,19/07/2006,Masculino,3,19/05/1952,Femenino,2,No,No aplica,No aplica,Grafitis en edificios públicos,No,No,En investigación,No aplica</t>
  </si>
  <si>
    <t>648,2024-12-17,16:19,Fraude,Argüello,03/02/1990,Femenino,4,24/10/1947,Masculino,1,No,No aplica,Sin agravantes,No aplica,No,No,Cerrado,No aplica</t>
  </si>
  <si>
    <t>649,2021-01-04,11:32,Vandalismo,Alta Córdoba,16/11/1977,Femenino,1,05/02/1952,Masculino,3,No,No aplica,Sin agravantes,No aplica,No,Sí,Cerrado,No aplica</t>
  </si>
  <si>
    <t>650,2021-10-21,19:52,Fraude,Cerro de las Rosas,22/12/1969,Masculino,2,03/07/2001,Femenino,1,Sí,No aplica,No aplica,Ropa de marca,No,Sí,En investigación,81</t>
  </si>
  <si>
    <t>651,2020-08-08,22:08,Delitos financieros,Alberdi,24/05/2003,Femenino,2,25/10/1969,Masculino,2,Sí,No aplica,No aplica,Vidrios de comercio rotos,No,No,Cerrado,98</t>
  </si>
  <si>
    <t>652,2018-10-05,19:46,Delitos financieros,Centro,20/06/1998,Masculino,1,15/03/1987,Masculino,1,No,No aplica,No aplica,Bicicleta,No,Sí,Cerrado,No aplica</t>
  </si>
  <si>
    <t>653,2017-06-04,16:38,Violación,Pueyrredón,15/10/1987,Masculino,4,16/08/2010,Masculino,3,Sí,No aplica,No aplica,Vidrios de comercio rotos,No,No,Abierto,136</t>
  </si>
  <si>
    <t>654,2018-07-17,21:26,Hurto,Pueyrredón,16/10/1962,Femenino,4,26/06/1969,Masculino,1,Sí,No aplica,No aplica,No aplica,No,No,Cerrado,37</t>
  </si>
  <si>
    <t>655,2021-11-06,14:32,Narcotráfico,Jardín Espinosa,24/03/1986,Masculino,5,24/07/1996,Masculino,2,Sí,No aplica,No aplica,Cuentas falsas,Sí,Sí,En investigación,292</t>
  </si>
  <si>
    <t>656,2015-01-12,19:05,Homicidio,Cerro de las Rosas,14/11/1966,Masculino,3,13/07/1957,Femenino,2,No,Arma de fuego,No aplica,"Celular, tarjetas bancarias",No,No,Cerrado,No aplica</t>
  </si>
  <si>
    <t>657,2022-04-23,20:57,Corrupción,IPV Argüello,22/11/1957,Femenino,3,21/01/2006,Femenino,3,No,Sin arma,Por vínculo,No aplica,No,No,En investigación,No aplica</t>
  </si>
  <si>
    <t>658,2019-10-16,9:28,Narcotráfico,Nueva Córdoba,18/04/2002,Femenino,5,27/04/1976,Femenino,3,No,No aplica,No aplica,Contrato fraudulento,No,Sí,Cerrado,No aplica</t>
  </si>
  <si>
    <t>659,2019-05-02,4:20,Secuestro,IPV Argüello,27/01/1961,Femenino,2,19/11/1951,Femenino,2,No,No aplica,No aplica,No aplica,No,Sí,Abierto,No aplica</t>
  </si>
  <si>
    <t>660,2023-01-15,19:42,Robo,Pueyrredón,27/11/1993,Masculino,4,25/11/1946,Femenino,3,Sí,No aplica,No aplica,Vidrios de comercio rotos,No,No,Cerrado,119</t>
  </si>
  <si>
    <t>661,2020-12-27,16:49,Vandalismo,Argüello,22/04/1969,Femenino,1,21/04/1991,Masculino,1,Sí,No aplica,No aplica,5kg de cocaína,No,No,Abierto,153</t>
  </si>
  <si>
    <t>662,2021-01-18,9:51,Narcotráfico,San Vicente,07/08/1982,Masculino,1,25/08/2003,Masculino,1,Sí,No aplica,No aplica,Cuentas falsas,No,No,En investigación,180</t>
  </si>
  <si>
    <t>663,2020-12-23,16:01,Hurto,Jardín Espinosa,24/07/1989,Masculino,1,05/02/1955,Femenino,3,Sí,No aplica,Sin agravantes,No aplica,Sí,Sí,En investigación,11</t>
  </si>
  <si>
    <t>664,2020-01-23,23:14,Narcotráfico,Jardín Espinosa,27/07/1975,Femenino,4,28/10/1983,Femenino,2,Sí,Sin arma,Por vínculo,No aplica,Sí,No,Abierto,235</t>
  </si>
  <si>
    <t>665,2024-01-23,20:01,Violencia de género,Pueyrredón,20/08/1962,Masculino,1,28/07/2002,Masculino,2,Sí,Objeto contundente,Por vínculo,No aplica,Sí,No,Cerrado,103</t>
  </si>
  <si>
    <t>666,2021-06-24,23:16,Robo,Argüello,05/07/1951,Femenino,3,28/01/1943,Masculino,3,No,Objeto contundente,Con ensañamiento,No aplica,No,Sí,Cerrado,No aplica</t>
  </si>
  <si>
    <t>667,2016-03-10,13:20,Amenazas,Nueva Córdoba,09/09/1979,Masculino,4,25/09/2015,Femenino,1,No,No aplica,No aplica,No aplica,Sí,No,Cerrado,No aplica</t>
  </si>
  <si>
    <t>668,2024-11-26,20:21,Corrupción,Pueyrredón,13/06/1990,Femenino,5,17/11/1970,Femenino,3,No,Objeto contundente,Con ensañamiento,No aplica,No,Sí,Abierto,No aplica</t>
  </si>
  <si>
    <t>669,2016-03-16,16:57,Corrupción,Alta Córdoba,01/12/1961,Femenino,5,14/07/1990,Masculino,1,No,No aplica,No aplica,Cuentas falsas,No,Sí,Cerrado,No aplica</t>
  </si>
  <si>
    <t>670,2021-11-14,15:19,Fraude,Nueva Córdoba,19/04/1970,Femenino,2,06/08/1955,Masculino,3,No,No aplica,No aplica,Lavado de dinero,Sí,Sí,En investigación,No aplica</t>
  </si>
  <si>
    <t>671,2015-12-26,22:55,Robo,IPV Argüello,24/09/1971,Masculino,3,05/05/1995,Masculino,1,No,Arma blanca,No aplica,"Auto modelo XXX, patente XXX XXX",Sí,No,Cerrado,No aplica</t>
  </si>
  <si>
    <t>672,2016-06-10,22:48,Narcotráfico,Nueva Córdoba,11/09/1980,Masculino,3,15/03/2007,Femenino,2,No,Arma de fuego,No aplica,"Celular, tarjetas bancarias",No,Sí,Abierto,No aplica</t>
  </si>
  <si>
    <t>673,2017-05-02,8:45,Robo,Pueyrredón,24/06/2005,Masculino,2,10/11/1978,Femenino,2,No,No aplica,No aplica,No aplica,No,Sí,Abierto,No aplica</t>
  </si>
  <si>
    <t>674,2018-01-08,13:37,Robo,Centro,15/03/1975,Masculino,5,08/02/1950,Masculino,3,Sí,No aplica,Por vínculo,No aplica,No,Sí,En investigación,269</t>
  </si>
  <si>
    <t>675,2017-08-25,10:25,Robo,Centro,07/05/1959,Femenino,4,02/06/1997,Femenino,3,Sí,No aplica,No aplica,Contrato fraudulento,No,No,Cerrado,193</t>
  </si>
  <si>
    <t>676,2021-03-25,4:22,Delitos financieros,Argüello,22/12/1964,Masculino,2,10/03/1988,Femenino,3,Sí,No aplica,Sin agravantes,No aplica,No,No,Cerrado,249</t>
  </si>
  <si>
    <t>677,2015-07-05,14:45,Fraude,Pueyrredón,01/11/1959,Femenino,4,27/05/1988,Masculino,3,No,No aplica,No aplica,Dinero público desviado,Sí,Sí,Abierto,No aplica</t>
  </si>
  <si>
    <t>678,2017-03-19,1:06,Narcotráfico,Centro,23/11/1951,Femenino,3,24/03/1975,Masculino,1,Sí,No aplica,No aplica,Vidrios de comercio rotos,No,No,Cerrado,180</t>
  </si>
  <si>
    <t>679,2015-09-26,20:26,Vandalismo,Centro,02/07/1993,Femenino,5,28/04/1979,Masculino,3,No,No aplica,No aplica,Celular,No,No,En investigación,No aplica</t>
  </si>
  <si>
    <t>680,2017-09-26,10:21,Violencia de género,IPV Argüello,14/06/1984,Femenino,2,28/09/1957,Masculino,2,No,No aplica,No aplica,Contrato fraudulento,Sí,Sí,Cerrado,No aplica</t>
  </si>
  <si>
    <t>681,2022-12-02,22:11,Violación,Cerro de las Rosas,24/07/1954,Masculino,2,06/02/1957,Masculino,3,Sí,Sin arma,Con ensañamiento,No aplica,No,No,En investigación,56</t>
  </si>
  <si>
    <t>682,2023-05-20,2:49,Robo,Argüello,27/06/1967,Femenino,5,26/09/2002,Femenino,1,No,No aplica,No aplica,Grafitis en edificios públicos,Sí,No,Cerrado,No aplica</t>
  </si>
  <si>
    <t>683,2016-07-12,23:26,Violencia de género,General Paz,25/01/1968,Masculino,5,26/08/1954,Femenino,1,No,Arma de fuego,No aplica,"Celular, tarjetas bancarias",Sí,No,Abierto,No aplica</t>
  </si>
  <si>
    <t>684,2016-09-06,19:30,Secuestro,Argüello,28/08/1990,Femenino,3,17/06/1963,Masculino,1,No,No aplica,No aplica,No aplica,Sí,Sí,Cerrado,No aplica</t>
  </si>
  <si>
    <t>685,2024-09-17,10:13,Hurto,Cerro de las Rosas,01/08/1983,Femenino,2,12/02/1966,Femenino,3,Sí,No aplica,No aplica,Lavado de dinero,No,Sí,Abierto,251</t>
  </si>
  <si>
    <t>686,2017-09-19,9:41,Secuestro,Nueva Córdoba,20/02/2001,Masculino,4,10/05/2011,Masculino,2,Sí,No aplica,No aplica,Pasta base,Sí,Sí,Cerrado,213</t>
  </si>
  <si>
    <t>687,2020-01-24,12:51,Narcotráfico,Pueyrredón,19/01/1981,Masculino,5,07/09/2008,Femenino,3,No,No aplica,No aplica,Plantas de marihuana,No,Sí,Cerrado,No aplica</t>
  </si>
  <si>
    <t>688,2016-09-03,11:37,Hurto,Nueva Córdoba,11/06/1978,Femenino,1,26/10/1948,Femenino,2,Sí,No aplica,No aplica,Evasión fiscal,No,Sí,Cerrado,189</t>
  </si>
  <si>
    <t>689,2018-01-04,15:27,Violación,Alta Córdoba,11/03/1954,Masculino,4,11/03/1991,Femenino,3,Sí,No aplica,No aplica,Dinero público desviado,Sí,No,Cerrado,199</t>
  </si>
  <si>
    <t>690,2016-08-28,21:18,Robo,Pueyrredón,01/04/1996,Femenino,3,25/05/1986,Masculino,3,No,Arma blanca,No aplica,Laptop marca HP,Sí,No,Abierto,No aplica</t>
  </si>
  <si>
    <t>691,2023-10-14,19:33,Amenazas,Nueva Córdoba,03/02/1999,Masculino,1,12/12/1979,Masculino,1,No,Arma de fuego,No aplica,"Auto modelo XXX, patente XXX XXX",No,No,Abierto,No aplica</t>
  </si>
  <si>
    <t>692,2023-12-20,20:30,Vandalismo,Villa El Libertador,27/08/1997,Masculino,5,14/03/1953,Masculino,1,No,No aplica,No aplica,Celular,No,Sí,En investigación,No aplica</t>
  </si>
  <si>
    <t>693,2022-02-19,10:09,Fraude,Centro,22/03/1968,Femenino,4,26/12/1970,Femenino,3,Sí,No aplica,No aplica,Vidrios de comercio rotos,Sí,Sí,En investigación,75</t>
  </si>
  <si>
    <t>694,2024-12-14,10:23,Hurto,Villa El Libertador,03/09/1966,Masculino,3,10/02/2009,Masculino,2,No,No aplica,No aplica,Cuentas falsas,No,No,Cerrado,No aplica</t>
  </si>
  <si>
    <t>695,2015-08-13,19:47,Narcotráfico,General Paz,17/06/1968,Femenino,1,01/12/2012,Masculino,1,No,No aplica,No aplica,Celular,No,Sí,Cerrado,No aplica</t>
  </si>
  <si>
    <t>696,2016-10-22,22:36,Corrupción,Centro,06/05/1953,Femenino,4,07/05/1952,Femenino,2,Sí,Sin arma,Por vínculo,No aplica,Sí,Sí,Cerrado,10</t>
  </si>
  <si>
    <t>697,2017-04-28,23:12,Hurto,Alberdi,28/11/1959,Femenino,3,02/06/1973,Masculino,1,No,No aplica,No aplica,Bicicleta,No,No,Abierto,No aplica</t>
  </si>
  <si>
    <t>698,2021-01-10,12:53,Violación,Nueva Córdoba,17/07/1971,Femenino,2,22/08/2011,Femenino,1,Sí,No aplica,No aplica,Lavado de dinero,No,No,Cerrado,300</t>
  </si>
  <si>
    <t>699,2017-01-08,2:41,Corrupción,Alberdi,02/02/1985,Masculino,2,10/09/1983,Femenino,2,Sí,No aplica,No aplica,Vidrios de comercio rotos,No,No,Abierto,259</t>
  </si>
  <si>
    <t>700,2024-06-10,18:19,Violación,Nueva Córdoba,21/08/1963,Femenino,3,04/02/1983,Masculino,3,Sí,Sin arma,Con ensañamiento,No aplica,No,Sí,Cerrado,148</t>
  </si>
  <si>
    <t>701,2018-02-27,11:00,Violencia de género,Alberdi,13/05/1974,Masculino,3,24/04/2002,Femenino,3,Sí,No aplica,No aplica,5kg de cocaína,No,No,Abierto,97</t>
  </si>
  <si>
    <t>702,2021-03-11,18:27,Violación,Nueva Córdoba,04/02/1997,Masculino,3,04/05/1996,Femenino,1,Sí,No aplica,No aplica,Grafitis en edificios públicos,Sí,Sí,En investigación,267</t>
  </si>
  <si>
    <t>703,2023-09-27,6:36,Vandalismo,IPV Argüello,25/01/1955,Femenino,4,13/12/1967,Masculino,2,No,No aplica,No aplica,No aplica,No,Sí,En investigación,No aplica</t>
  </si>
  <si>
    <t>704,2023-03-14,17:01,Hurto,Alta Córdoba,07/05/1979,Masculino,4,03/04/1976,Femenino,1,Sí,No aplica,No aplica,Lavado de dinero,No,Sí,Abierto,221</t>
  </si>
  <si>
    <t>705,2023-03-31,0:02,Robo,Cerro de las Rosas,22/04/1982,Femenino,3,10/11/1946,Femenino,3,No,No aplica,No aplica,5kg de cocaína,No,No,Cerrado,No aplica</t>
  </si>
  <si>
    <t>706,2018-03-05,17:14,Fraude,Alberdi,03/02/1970,Femenino,3,10/10/1965,Masculino,3,No,No aplica,No aplica,No aplica,No,Sí,Cerrado,No aplica</t>
  </si>
  <si>
    <t>707,2019-09-07,3:16,Vandalismo,Nueva Córdoba,03/06/1990,Masculino,4,06/04/1988,Femenino,1,No,No aplica,No aplica,Vidrios de comercio rotos,Sí,Sí,En investigación,No aplica</t>
  </si>
  <si>
    <t>708,2023-12-29,18:18,Corrupción,IPV Argüello,14/10/1962,Femenino,4,18/10/1971,Femenino,2,No,No aplica,No aplica,Cartera con documentación,Sí,No,Cerrado,No aplica</t>
  </si>
  <si>
    <t>709,2021-11-29,22:41,Secuestro,Villa El Libertador,05/12/2002,Masculino,5,19/02/1968,Femenino,1,Sí,Arma de fuego,No aplica,"Auto modelo XXX, patente XXX XXX",No,No,Cerrado,208</t>
  </si>
  <si>
    <t>710,2023-08-28,2:34,Violación,Alta Córdoba,09/01/1955,Masculino,3,18/02/1996,Femenino,1,Sí,No aplica,No aplica,No aplica,No,No,Cerrado,78</t>
  </si>
  <si>
    <t>711,2020-10-19,0:26,Robo,San Vicente,01/01/2001,Femenino,5,05/06/1996,Femenino,3,Sí,No aplica,No aplica,No aplica,No,Sí,Cerrado,255</t>
  </si>
  <si>
    <t>712,2017-10-30,22:13,Hurto,IPV Argüello,06/12/1982,Femenino,3,12/03/1947,Masculino,1,Sí,No aplica,No aplica,Cartera con documentación,No,No,Cerrado,125</t>
  </si>
  <si>
    <t>713,2015-02-17,13:32,Homicidio,Cerro de las Rosas,06/04/1994,Femenino,2,06/07/1978,Masculino,3,Sí,No aplica,Por vínculo,No aplica,No,No,En investigación,94</t>
  </si>
  <si>
    <t>714,2023-01-28,21:17,Vandalismo,Alta Córdoba,19/04/2002,Masculino,3,07/12/1967,Femenino,3,No,No aplica,No aplica,Pasta base,No,No,Abierto,No aplica</t>
  </si>
  <si>
    <t>715,2017-05-12,20:47,Vandalismo,Nueva Córdoba,04/04/2001,Femenino,1,16/11/1964,Masculino,1,Sí,Arma de fuego,No aplica,"Celular, tarjetas bancarias",No,No,Abierto,19</t>
  </si>
  <si>
    <t>716,2018-11-11,18:39,Hurto,Cerro de las Rosas,11/08/1961,Masculino,5,28/11/1984,Masculino,2,Sí,No aplica,Con ensañamiento,No aplica,No,No,Cerrado,136</t>
  </si>
  <si>
    <t>717,2024-10-09,1:23,Fraude,Cerro de las Rosas,27/11/1972,Masculino,4,14/01/1940,Masculino,2,No,No aplica,No aplica,No aplica,Sí,No,Cerrado,No aplica</t>
  </si>
  <si>
    <t>718,2022-10-18,14:00,Violación,San Vicente,03/06/1968,Masculino,2,25/02/1992,Masculino,1,Sí,No aplica,No aplica,No aplica,No,No,Cerrado,210</t>
  </si>
  <si>
    <t>719,2023-12-11,21:14,Secuestro,Cerro de las Rosas,05/07/1985,Femenino,5,15/02/1953,Femenino,1,No,No aplica,No aplica,No aplica,Sí,No,Abierto,No aplica</t>
  </si>
  <si>
    <t>720,2016-05-11,14:59,Amenazas,Pueyrredón,18/01/1978,Femenino,5,22/12/1977,Femenino,2,No,No aplica,No aplica,Evasión fiscal,No,No,Abierto,No aplica</t>
  </si>
  <si>
    <t>721,2017-01-07,19:38,Homicidio,Pueyrredón,11/08/1956,Masculino,2,04/09/2010,Masculino,2,No,Arma de fuego,No aplica,Laptop marca HP,No,No,Cerrado,No aplica</t>
  </si>
  <si>
    <t>722,2017-06-10,9:32,Delitos financieros,Pueyrredón,05/08/1984,Masculino,3,28/03/2009,Femenino,2,Sí,No aplica,No aplica,Lavado de dinero,No,No,Cerrado,256</t>
  </si>
  <si>
    <t>723,2021-06-02,13:23,Homicidio,Pueyrredón,06/07/1967,Masculino,1,23/01/1966,Masculino,2,No,No aplica,No aplica,No aplica,No,No,En investigación,No aplica</t>
  </si>
  <si>
    <t>724,2015-06-22,23:37,Homicidio,General Paz,06/05/1964,Femenino,5,14/04/1974,Femenino,2,Sí,Arma blanca,No aplica,"Auto modelo XXX, patente XXX XXX",No,Sí,En investigación,295</t>
  </si>
  <si>
    <t>725,2015-08-28,23:08,Secuestro,Nueva Córdoba,19/09/1957,Masculino,5,02/03/1950,Femenino,1,Sí,No aplica,No aplica,Plantas de marihuana,No,No,Cerrado,281</t>
  </si>
  <si>
    <t>726,2016-10-04,12:17,Vandalismo,Villa El Libertador,28/02/1958,Femenino,2,21/05/1995,Masculino,2,No,No aplica,No aplica,Estafa bancaria,Sí,No,En investigación,No aplica</t>
  </si>
  <si>
    <t>727,2022-08-19,18:49,Violación,Villa El Libertador,25/04/2002,Masculino,5,07/04/1998,Femenino,2,Sí,No aplica,No aplica,Grafitis en edificios públicos,Sí,Sí,Cerrado,288</t>
  </si>
  <si>
    <t>728,2017-01-05,22:30,Hurto,IPV Argüello,26/08/2006,Femenino,3,19/12/1991,Masculino,1,Sí,Objeto contundente,No aplica,"Auto modelo XXX, patente XXX XXX",No,Sí,En investigación,142</t>
  </si>
  <si>
    <t>729,2022-07-24,2:29,Vandalismo,Pueyrredón,27/05/1982,Masculino,1,16/10/2001,Femenino,2,Sí,No aplica,No aplica,Vidrios de comercio rotos,No,No,Cerrado,286</t>
  </si>
  <si>
    <t>730,2016-05-27,3:03,Homicidio,Pueyrredón,09/07/1997,Masculino,3,17/04/2001,Masculino,1,Sí,No aplica,No aplica,Grafitis en edificios públicos,Sí,Sí,Abierto,165</t>
  </si>
  <si>
    <t>731,2023-12-28,14:34,Corrupción,Cerro de las Rosas,26/02/2006,Femenino,3,27/02/2009,Femenino,3,Sí,No aplica,No aplica,Estafa bancaria,No,Sí,Cerrado,262</t>
  </si>
  <si>
    <t>732,2019-02-09,17:11,Violencia de género,General Paz,28/07/1999,Masculino,4,13/11/1986,Masculino,3,No,No aplica,No aplica,Evasión fiscal,No,No,Abierto,No aplica</t>
  </si>
  <si>
    <t>733,2016-08-27,1:19,Violencia de género,Jardín Espinosa,09/02/1992,Masculino,3,27/06/1964,Femenino,1,Sí,No aplica,No aplica,Grafitis en edificios públicos,No,No,Abierto,89</t>
  </si>
  <si>
    <t>734,2019-08-09,10:27,Violencia de género,General Paz,06/06/1983,Masculino,4,07/10/1947,Masculino,3,Sí,No aplica,No aplica,Contrato fraudulento,No,Sí,Cerrado,255</t>
  </si>
  <si>
    <t>735,2016-09-19,11:28,Vandalismo,Argüello,09/03/1950,Masculino,2,19/06/1963,Masculino,2,No,No aplica,No aplica,Estafa bancaria,No,No,Cerrado,No aplica</t>
  </si>
  <si>
    <t>736,2021-06-03,19:45,Homicidio,Alta Córdoba,28/01/2000,Masculino,5,09/09/1999,Masculino,1,No,No aplica,No aplica,Cartera con documentación,No,No,Abierto,No aplica</t>
  </si>
  <si>
    <t>737,2019-01-28,7:26,Narcotráfico,Nueva Córdoba,02/03/1992,Femenino,1,27/05/1962,Masculino,3,No,No aplica,No aplica,Grafitis en edificios públicos,No,No,Cerrado,No aplica</t>
  </si>
  <si>
    <t>738,2016-02-08,21:34,Violencia de género,General Paz,13/11/1963,Masculino,4,09/04/1968,Masculino,1,No,Arma de fuego,No aplica,"Celular, tarjetas bancarias",Sí,No,Abierto,No aplica</t>
  </si>
  <si>
    <t>739,2022-05-11,4:09,Fraude,General Paz,11/07/1984,Masculino,4,11/06/1986,Femenino,2,No,No aplica,No aplica,No aplica,No,Sí,Cerrado,No aplica</t>
  </si>
  <si>
    <t>740,2023-04-10,15:00,Narcotráfico,Centro,24/06/1960,Masculino,5,03/06/1945,Femenino,3,No,No aplica,Por vínculo,No aplica,Sí,No,Cerrado,No aplica</t>
  </si>
  <si>
    <t>741,2020-05-30,19:02,Homicidio,Cerro de las Rosas,20/06/1977,Masculino,3,15/10/1945,Femenino,3,No,Arma blanca,No aplica,"Celular, tarjetas bancarias",No,Sí,Abierto,No aplica</t>
  </si>
  <si>
    <t>742,2022-02-15,15:23,Narcotráfico,Nueva Córdoba,24/05/1951,Masculino,3,03/12/1948,Femenino,2,No,No aplica,No aplica,Cuentas falsas,No,No,Cerrado,No aplica</t>
  </si>
  <si>
    <t>743,2018-04-29,2:16,Violencia de género,Alta Córdoba,03/01/1963,Masculino,4,10/09/1998,Femenino,1,Sí,No aplica,No aplica,5kg de cocaína,Sí,No,Cerrado,93</t>
  </si>
  <si>
    <t>744,2022-08-20,11:04,Corrupción,Argüello,23/09/1983,Masculino,5,22/05/2012,Femenino,1,Sí,No aplica,No aplica,Evasión fiscal,Sí,Sí,Cerrado,73</t>
  </si>
  <si>
    <t>745,2024-11-09,2:14,Fraude,Pueyrredón,25/10/1989,Masculino,4,13/05/1947,Femenino,2,No,No aplica,No aplica,5kg de cocaína,No,No,Cerrado,No aplica</t>
  </si>
  <si>
    <t>746,2024-10-13,18:35,Robo,Centro,20/07/1960,Masculino,4,21/09/1991,Masculino,2,No,Arma de fuego,No aplica,"Celular, tarjetas bancarias",No,Sí,Cerrado,No aplica</t>
  </si>
  <si>
    <t>747,2021-04-21,14:05,Narcotráfico,Centro,09/09/2000,Masculino,2,25/11/1995,Femenino,2,No,No aplica,Por vínculo,No aplica,Sí,Sí,Cerrado,No aplica</t>
  </si>
  <si>
    <t>748,2020-05-16,13:45,Vandalismo,General Paz,16/10/1961,Masculino,1,03/06/1986,Femenino,3,Sí,No aplica,No aplica,Lavado de dinero,No,No,Cerrado,34</t>
  </si>
  <si>
    <t>749,2024-04-13,11:45,Delitos financieros,IPV Argüello,19/12/1967,Femenino,4,18/12/1962,Masculino,2,No,No aplica,No aplica,Lavado de dinero,No,No,Abierto,No aplica</t>
  </si>
  <si>
    <t>750,2017-04-08,13:20,Homicidio,Villa El Libertador,26/06/1977,Femenino,4,27/10/1970,Femenino,2,Sí,No aplica,No aplica,Evasión fiscal,Sí,Sí,Cerrado,97</t>
  </si>
  <si>
    <t>751,2023-01-06,12:32,Robo,IPV Argüello,17/08/1976,Femenino,2,12/01/1950,Masculino,2,Sí,No aplica,No aplica,Evasión fiscal,No,No,En investigación,154</t>
  </si>
  <si>
    <t>752,2023-10-08,19:10,Vandalismo,Jardín Espinosa,18/07/1982,Masculino,5,13/07/1952,Femenino,1,No,No aplica,No aplica,Ropa de marca,No,No,Abierto,No aplica</t>
  </si>
  <si>
    <t>753,2022-04-12,21:00,Hurto,San Vicente,14/07/1977,Masculino,1,24/02/1989,Masculino,3,No,Arma de fuego,Con ensañamiento,No aplica,Sí,No,Abierto,No aplica</t>
  </si>
  <si>
    <t>754,2015-02-13,14:14,Vandalismo,Villa El Libertador,27/01/1989,Femenino,1,13/09/1970,Masculino,3,No,No aplica,No aplica,Vidrios de comercio rotos,No,No,Abierto,No aplica</t>
  </si>
  <si>
    <t>755,2019-07-04,10:49,Fraude,Centro,08/03/1975,Masculino,3,25/08/1984,Masculino,3,No,No aplica,No aplica,Estafa bancaria,No,No,En investigación,No aplica</t>
  </si>
  <si>
    <t>756,2017-09-18,20:21,Violencia de género,Alta Córdoba,08/11/1991,Masculino,1,04/09/1958,Masculino,3,Sí,Arma de fuego,No aplica,"Celular, tarjetas bancarias",No,No,Cerrado,182</t>
  </si>
  <si>
    <t>757,2019-10-01,10:35,Vandalismo,Villa El Libertador,01/01/2001,Masculino,2,01/06/2003,Masculino,3,Sí,No aplica,No aplica,Contrato fraudulento,No,No,Cerrado,57</t>
  </si>
  <si>
    <t>758,2021-12-17,20:04,Homicidio,Villa El Libertador,05/06/1962,Masculino,3,15/03/1942,Masculino,2,Sí,No aplica,No aplica,Celular,Sí,No,En investigación,86</t>
  </si>
  <si>
    <t>759,2021-08-23,23:43,Corrupción,Alta Córdoba,04/12/2000,Masculino,4,21/04/1944,Masculino,3,Sí,Arma blanca,Alevosía,No aplica,No,Sí,En investigación,196</t>
  </si>
  <si>
    <t>760,2019-03-22,16:34,Vandalismo,San Vicente,10/01/2004,Femenino,2,01/04/1977,Masculino,3,No,No aplica,No aplica,Pasta base,No,Sí,Cerrado,No aplica</t>
  </si>
  <si>
    <t>761,2024-08-12,10:27,Hurto,Jardín Espinosa,17/12/1997,Masculino,3,18/02/1960,Femenino,1,Sí,No aplica,No aplica,Cuentas falsas,No,Sí,En investigación,195</t>
  </si>
  <si>
    <t>762,2022-08-03,18:16,Narcotráfico,Argüello,18/08/1955,Femenino,5,15/12/1967,Masculino,2,Sí,No aplica,No aplica,Cartera con documentación,No,Sí,En investigación,20</t>
  </si>
  <si>
    <t>763,2021-02-16,15:42,Violencia de género,General Paz,20/05/2004,Masculino,2,26/12/1968,Masculino,2,No,No aplica,Alevosía,No aplica,No,Sí,Abierto,No aplica</t>
  </si>
  <si>
    <t>764,2024-09-27,2:55,Robo,San Vicente,21/07/1996,Femenino,4,06/08/1967,Femenino,3,No,No aplica,No aplica,Grafitis en edificios públicos,Sí,Sí,En investigación,No aplica</t>
  </si>
  <si>
    <t>765,2015-01-18,19:37,Narcotráfico,Pueyrredón,06/06/1960,Masculino,4,01/08/1946,Masculino,2,Sí,No aplica,No aplica,No aplica,No,No,Cerrado,210</t>
  </si>
  <si>
    <t>766,2021-09-07,17:30,Secuestro,Alta Córdoba,03/04/1962,Femenino,3,08/09/1997,Femenino,2,No,No aplica,No aplica,Vidrios de comercio rotos,No,No,Cerrado,No aplica</t>
  </si>
  <si>
    <t>767,2019-06-02,21:44,Secuestro,IPV Argüello,07/05/1981,Femenino,4,01/07/1976,Masculino,2,Sí,Sin arma,No aplica,"Auto modelo XXX, patente XXX XXX",Sí,No,Abierto,83</t>
  </si>
  <si>
    <t>768,2022-02-06,0:13,Delitos financieros,Nueva Córdoba,25/09/1975,Femenino,2,11/01/1965,Masculino,2,No,No aplica,No aplica,No aplica,No,Sí,Cerrado,No aplica</t>
  </si>
  <si>
    <t>769,2016-10-26,12:15,Narcotráfico,Argüello,08/10/1994,Femenino,1,02/01/1940,Femenino,3,Sí,No aplica,No aplica,Estafa bancaria,No,Sí,Cerrado,256</t>
  </si>
  <si>
    <t>770,2019-11-21,1:46,Vandalismo,IPV Argüello,10/08/1996,Femenino,3,09/11/2015,Femenino,1,No,No aplica,Alevosía,No aplica,No,No,Abierto,No aplica</t>
  </si>
  <si>
    <t>771,2016-06-07,23:46,Delitos financieros,Cerro de las Rosas,09/11/2004,Masculino,2,13/11/1982,Masculino,1,Sí,No aplica,No aplica,Ropa de marca,Sí,Sí,En investigación,71</t>
  </si>
  <si>
    <t>772,2024-05-29,17:28,Violación,Alta Córdoba,04/06/2001,Masculino,5,10/02/1972,Femenino,3,No,No aplica,No aplica,Estafa bancaria,No,Sí,En investigación,No aplica</t>
  </si>
  <si>
    <t>773,2024-10-21,10:45,Hurto,Alberdi,02/08/1975,Masculino,5,28/07/1941,Femenino,2,No,No aplica,No aplica,Estafa bancaria,No,Sí,En investigación,No aplica</t>
  </si>
  <si>
    <t>774,2021-04-23,5:30,Violencia de género,IPV Argüello,11/06/1966,Masculino,1,15/03/1975,Masculino,2,No,No aplica,No aplica,5kg de cocaína,Sí,Sí,Cerrado,No aplica</t>
  </si>
  <si>
    <t>775,2024-04-12,19:33,Corrupción,IPV Argüello,01/03/1960,Masculino,1,07/02/1995,Femenino,2,No,No aplica,No aplica,No aplica,No,No,En investigación,No aplica</t>
  </si>
  <si>
    <t>776,2019-12-22,18:27,Hurto,IPV Argüello,10/12/1958,Femenino,1,11/05/1980,Masculino,1,No,No aplica,No aplica,Bicicleta,No,No,En investigación,No aplica</t>
  </si>
  <si>
    <t>777,2021-12-23,9:16,Secuestro,IPV Argüello,17/11/1994,Masculino,2,06/01/1993,Masculino,3,Sí,No aplica,No aplica,Cuentas falsas,Sí,No,Cerrado,80</t>
  </si>
  <si>
    <t>778,2022-08-30,22:09,Violencia de género,IPV Argüello,13/06/1987,Masculino,2,02/08/1996,Masculino,2,Sí,Sin arma,No aplica,"Auto modelo XXX, patente XXX XXX",No,No,Cerrado,125</t>
  </si>
  <si>
    <t>779,2015-01-12,17:47,Hurto,Argüello,16/09/2006,Masculino,1,28/11/1991,Masculino,2,No,No aplica,No aplica,Contrato fraudulento,No,Sí,En investigación,No aplica</t>
  </si>
  <si>
    <t>780,2019-01-28,13:09,Homicidio,Centro,27/02/1983,Masculino,4,24/07/1994,Masculino,3,Sí,No aplica,No aplica,Estafa bancaria,Sí,Sí,Abierto,43</t>
  </si>
  <si>
    <t>781,2016-07-04,20:01,Delitos financieros,Argüello,06/01/1975,Masculino,2,11/09/1956,Masculino,2,No,Objeto contundente,No aplica,"Billetera con $15,000 ARG",No,No,En investigación,No aplica</t>
  </si>
  <si>
    <t>782,2015-09-02,17:11,Robo,Centro,09/12/1972,Femenino,5,10/12/2005,Masculino,3,Sí,No aplica,No aplica,Evasión fiscal,No,No,Abierto,219</t>
  </si>
  <si>
    <t>783,2015-08-23,12:28,Hurto,Cerro de las Rosas,05/10/1967,Masculino,5,01/11/1979,Masculino,3,Sí,No aplica,No aplica,Dinero público desviado,Sí,Sí,Abierto,266</t>
  </si>
  <si>
    <t>784,2017-08-21,5:09,Amenazas,Centro,05/02/2006,Masculino,3,22/01/1964,Masculino,2,No,No aplica,Alevosía,No aplica,No,No,Cerrado,No aplica</t>
  </si>
  <si>
    <t>785,2019-05-29,23:54,Corrupción,Villa El Libertador,16/09/1955,Femenino,4,03/04/1952,Femenino,2,No,No aplica,Sin agravantes,No aplica,Sí,No,En investigación,No aplica</t>
  </si>
  <si>
    <t>786,2017-01-04,5:01,Fraude,General Paz,24/01/1966,Masculino,3,25/01/1995,Femenino,3,Sí,No aplica,Por vínculo,No aplica,No,Sí,Cerrado,287</t>
  </si>
  <si>
    <t>787,2015-08-31,19:25,Narcotráfico,Pueyrredón,24/04/1975,Masculino,2,11/03/1992,Femenino,2,No,Arma de fuego,Con ensañamiento,No aplica,No,Sí,En investigación,No aplica</t>
  </si>
  <si>
    <t>788,2022-12-23,11:42,Hurto,Argüello,21/08/1970,Masculino,4,20/01/1953,Femenino,1,Sí,No aplica,No aplica,Grafitis en edificios públicos,No,No,Abierto,39</t>
  </si>
  <si>
    <t>789,2019-04-26,11:13,Violación,General Paz,18/05/1970,Femenino,4,21/01/1944,Masculino,3,Sí,No aplica,No aplica,Dinero público desviado,No,No,Cerrado,27</t>
  </si>
  <si>
    <t>790,2017-10-03,12:03,Narcotráfico,Centro,23/04/1991,Masculino,5,04/08/1984,Masculino,1,No,No aplica,No aplica,No aplica,No,Sí,En investigación,No aplica</t>
  </si>
  <si>
    <t>791,2019-08-07,10:41,Robo,Nueva Córdoba,11/03/1980,Masculino,5,19/07/1970,Femenino,3,No,No aplica,No aplica,Grafitis en edificios públicos,No,Sí,En investigación,No aplica</t>
  </si>
  <si>
    <t>792,2024-03-02,11:53,Fraude,Alberdi,17/07/1993,Femenino,1,19/04/1982,Masculino,1,No,No aplica,No aplica,Lavado de dinero,Sí,No,Cerrado,No aplica</t>
  </si>
  <si>
    <t>793,2015-01-17,20:30,Secuestro,Argüello,11/12/1958,Masculino,1,13/05/2008,Femenino,1,Sí,Objeto contundente,Alevosía,No aplica,No,No,Cerrado,196</t>
  </si>
  <si>
    <t>794,2021-07-30,16:57,Robo,Nueva Córdoba,03/11/1980,Femenino,3,02/10/1982,Masculino,3,Sí,No aplica,No aplica,Contrato fraudulento,No,No,En investigación,43</t>
  </si>
  <si>
    <t>795,2018-04-22,11:15,Violación,Nueva Córdoba,21/07/1999,Femenino,2,07/01/1973,Femenino,3,No,No aplica,No aplica,Evasión fiscal,No,Sí,En investigación,No aplica</t>
  </si>
  <si>
    <t>796,2021-01-23,18:42,Violación,Jardín Espinosa,24/03/1982,Femenino,4,02/05/1975,Masculino,1,Sí,Arma blanca,Sin agravantes,No aplica,No,No,En investigación,264</t>
  </si>
  <si>
    <t>797,2018-02-09,23:54,Violación,IPV Argüello,15/03/1967,Masculino,4,26/03/1952,Femenino,2,No,No aplica,No aplica,Cartera con documentación,Sí,No,Cerrado,No aplica</t>
  </si>
  <si>
    <t>798,2022-02-14,22:18,Fraude,San Vicente,11/02/2001,Femenino,4,13/05/1950,Femenino,1,Sí,Arma de fuego,Con ensañamiento,No aplica,Sí,No,En investigación,190</t>
  </si>
  <si>
    <t>799,2018-09-29,20:44,Violación,Centro,02/07/1966,Masculino,5,10/01/1993,Masculino,2,Sí,Sin arma,Con ensañamiento,No aplica,No,No,Cerrado,225</t>
  </si>
  <si>
    <t>800,2017-03-04,18:05,Delitos financieros,Villa El Libertador,12/12/2004,Femenino,4,18/10/1980,Masculino,3,Sí,No aplica,No aplica,Bicicleta,No,Sí,En investigación,124</t>
  </si>
  <si>
    <t>801,2023-07-06,18:24,Amenazas,San Vicente,11/10/1977,Masculino,4,08/12/1957,Femenino,2,No,Arma de fuego,No aplica,"Billetera con $15,000 ARG",No,No,Cerrado,No aplica</t>
  </si>
  <si>
    <t>802,2020-08-11,9:20,Fraude,Pueyrredón,18/08/1955,Masculino,3,09/03/1991,Femenino,1,No,No aplica,No aplica,Estafa bancaria,No,No,En investigación,No aplica</t>
  </si>
  <si>
    <t>803,2024-06-27,14:38,Corrupción,Cerro de las Rosas,09/09/1950,Masculino,2,13/05/2006,Masculino,2,No,No aplica,No aplica,Vidrios de comercio rotos,No,Sí,Cerrado,No aplica</t>
  </si>
  <si>
    <t>804,2021-06-13,3:12,Violación,Centro,10/09/1954,Masculino,1,28/08/1990,Masculino,1,No,No aplica,No aplica,Grafitis en edificios públicos,No,No,Cerrado,No aplica</t>
  </si>
  <si>
    <t>805,2020-11-09,0:20,Homicidio,San Vicente,07/09/1960,Masculino,5,14/01/1960,Femenino,1,Sí,No aplica,Alevosía,No aplica,No,No,En investigación,273</t>
  </si>
  <si>
    <t>806,2024-11-07,16:07,Delitos financieros,Nueva Córdoba,10/03/1997,Femenino,3,21/04/1987,Femenino,2,No,No aplica,No aplica,Estafa bancaria,Sí,No,Cerrado,No aplica</t>
  </si>
  <si>
    <t>807,2017-06-21,16:41,Fraude,Alta Córdoba,17/05/1958,Femenino,2,11/06/1963,Masculino,1,No,No aplica,No aplica,Estafa bancaria,Sí,No,Abierto,No aplica</t>
  </si>
  <si>
    <t>808,2020-08-19,19:36,Violación,Centro,13/08/1992,Femenino,5,22/01/1973,Masculino,3,No,Arma blanca,No aplica,"Celular, tarjetas bancarias",No,Sí,Cerrado,No aplica</t>
  </si>
  <si>
    <t>809,2016-04-13,21:17,Violencia de género,Alta Córdoba,10/07/1978,Femenino,1,12/06/1994,Femenino,1,No,No aplica,No aplica,Cartera con documentación,No,Sí,Cerrado,No aplica</t>
  </si>
  <si>
    <t>810,2022-12-30,5:53,Violencia de género,IPV Argüello,23/02/1964,Femenino,1,04/10/1992,Masculino,2,Sí,No aplica,No aplica,No aplica,No,No,Abierto,150</t>
  </si>
  <si>
    <t>811,2016-01-26,8:43,Robo,Alberdi,09/02/1976,Masculino,5,11/03/1981,Masculino,2,Sí,No aplica,No aplica,Grafitis en edificios públicos,No,No,En investigación,173</t>
  </si>
  <si>
    <t>812,2023-04-27,18:05,Hurto,Alberdi,01/09/2001,Masculino,2,09/08/1992,Masculino,2,No,Arma blanca,No aplica,Laptop marca HP,Sí,Sí,Cerrado,No aplica</t>
  </si>
  <si>
    <t>813,2020-10-21,17:44,Hurto,General Paz,22/11/1997,Masculino,1,25/06/2004,Masculino,3,Sí,No aplica,Por vínculo,No aplica,Sí,No,Cerrado,285</t>
  </si>
  <si>
    <t>814,2017-09-06,23:31,Violación,Alberdi,18/10/1996,Masculino,5,03/11/1973,Femenino,1,No,Arma de fuego,No aplica,"Auto modelo XXX, patente XXX XXX",Sí,Sí,Cerrado,No aplica</t>
  </si>
  <si>
    <t>815,2024-10-08,4:39,Violencia de género,Nueva Córdoba,17/02/1996,Femenino,5,04/01/1967,Femenino,1,No,No aplica,Con ensañamiento,No aplica,No,Sí,Abierto,No aplica</t>
  </si>
  <si>
    <t>816,2024-04-15,21:33,Violencia de género,Argüello,14/10/1965,Masculino,4,01/12/2010,Femenino,2,Sí,No aplica,No aplica,Grafitis en edificios públicos,No,Sí,En investigación,58</t>
  </si>
  <si>
    <t>817,2017-12-06,21:21,Vandalismo,Pueyrredón,04/10/1962,Femenino,4,06/12/1966,Femenino,3,No,No aplica,No aplica,No aplica,Sí,No,En investigación,No aplica</t>
  </si>
  <si>
    <t>818,2020-11-07,21:55,Vandalismo,Alta Córdoba,18/01/1950,Femenino,4,25/08/1948,Masculino,1,No,Arma de fuego,Alevosía,No aplica,No,Sí,Cerrado,No aplica</t>
  </si>
  <si>
    <t>819,2023-09-11,16:54,Secuestro,Alberdi,03/07/1970,Femenino,4,01/09/1952,Masculino,1,Sí,No aplica,No aplica,Dinero público desviado,No,No,Cerrado,204</t>
  </si>
  <si>
    <t>820,2022-10-11,13:00,Violación,Pueyrredón,01/10/1985,Masculino,4,28/06/1973,Femenino,2,Sí,No aplica,No aplica,Contrato fraudulento,Sí,No,Abierto,136</t>
  </si>
  <si>
    <t>821,2015-04-07,19:29,Robo,Alberdi,18/05/1991,Femenino,1,04/09/1968,Masculino,1,Sí,Arma de fuego,No aplica,"Auto modelo XXX, patente XXX XXX",Sí,Sí,Cerrado,95</t>
  </si>
  <si>
    <t>822,2019-11-07,22:04,Violación,Pueyrredón,24/01/1975,Masculino,5,20/04/1988,Femenino,3,No,Objeto contundente,Alevosía,No aplica,No,Sí,En investigación,No aplica</t>
  </si>
  <si>
    <t>823,2024-10-04,20:42,Hurto,Centro,07/07/1998,Femenino,1,08/08/1998,Masculino,2,Sí,Arma de fuego,Con ensañamiento,No aplica,No,No,Abierto,111</t>
  </si>
  <si>
    <t>824,2023-07-03,5:51,Violación,Villa El Libertador,23/06/1968,Masculino,2,27/06/1940,Femenino,1,No,No aplica,No aplica,Vidrios de comercio rotos,No,Sí,Cerrado,No aplica</t>
  </si>
  <si>
    <t>825,2015-02-26,6:31,Hurto,General Paz,23/07/1987,Masculino,3,18/07/2004,Masculino,1,No,No aplica,No aplica,Vidrios de comercio rotos,Sí,No,Cerrado,No aplica</t>
  </si>
  <si>
    <t>826,2021-01-23,23:38,Violencia de género,General Paz,22/10/1958,Femenino,1,08/10/1941,Masculino,3,Sí,No aplica,No aplica,Pasta base,No,No,Cerrado,293</t>
  </si>
  <si>
    <t>827,2016-12-05,9:12,Vandalismo,Jardín Espinosa,02/03/1994,Femenino,2,07/11/2006,Masculino,1,No,No aplica,Sin agravantes,No aplica,No,Sí,Abierto,No aplica</t>
  </si>
  <si>
    <t>828,2023-02-07,21:40,Amenazas,Villa El Libertador,21/11/1995,Masculino,2,17/02/1954,Masculino,3,Sí,Objeto contundente,No aplica,"Auto modelo XXX, patente XXX XXX",No,No,En investigación,216</t>
  </si>
  <si>
    <t>829,2018-05-15,18:10,Narcotráfico,Nueva Córdoba,07/06/1981,Femenino,3,20/02/1962,Femenino,2,Sí,Arma blanca,No aplica,"Billetera con $15,000 ARG",Sí,Sí,Cerrado,191</t>
  </si>
  <si>
    <t>830,2023-02-02,18:42,Narcotráfico,Alberdi,26/05/1950,Femenino,4,01/04/1952,Masculino,1,Sí,Arma blanca,Sin agravantes,No aplica,No,No,Abierto,267</t>
  </si>
  <si>
    <t>831,2020-09-03,16:06,Violación,General Paz,21/04/1963,Masculino,4,21/11/1971,Masculino,3,No,No aplica,Por vínculo,No aplica,No,No,En investigación,No aplica</t>
  </si>
  <si>
    <t>832,2015-09-25,18:00,Corrupción,Alberdi,20/07/1987,Femenino,3,11/09/1940,Femenino,2,No,Arma de fuego,Con ensañamiento,No aplica,Sí,Sí,Cerrado,No aplica</t>
  </si>
  <si>
    <t>833,2020-03-01,21:25,Violación,Jardín Espinosa,09/12/1966,Femenino,3,25/08/2012,Femenino,1,No,No aplica,No aplica,Grafitis en edificios públicos,Sí,Sí,Cerrado,No aplica</t>
  </si>
  <si>
    <t>834,2023-05-06,16:10,Homicidio,Jardín Espinosa,19/04/2001,Femenino,3,08/06/2010,Masculino,1,Sí,No aplica,No aplica,Cuentas falsas,Sí,No,Abierto,186</t>
  </si>
  <si>
    <t>835,2020-10-30,8:47,Fraude,Jardín Espinosa,23/07/1972,Femenino,1,01/09/2005,Femenino,3,No,No aplica,Alevosía,No aplica,Sí,No,Cerrado,No aplica</t>
  </si>
  <si>
    <t>836,2019-09-16,6:25,Vandalismo,Villa El Libertador,28/11/1989,Femenino,4,03/07/2005,Femenino,1,No,No aplica,Alevosía,No aplica,Sí,No,Abierto,No aplica</t>
  </si>
  <si>
    <t>837,2022-02-15,16:50,Corrupción,IPV Argüello,06/06/1986,Masculino,1,22/05/1988,Masculino,2,No,No aplica,No aplica,No aplica,No,Sí,Abierto,No aplica</t>
  </si>
  <si>
    <t>838,2023-04-15,19:51,Violencia de género,Jardín Espinosa,15/10/1984,Femenino,3,27/06/1989,Femenino,3,Sí,No aplica,No aplica,Celular,No,No,Abierto,215</t>
  </si>
  <si>
    <t>839,2015-09-15,10:31,Homicidio,Nueva Córdoba,16/01/2002,Masculino,2,07/09/1968,Masculino,2,No,No aplica,No aplica,Vidrios de comercio rotos,Sí,Sí,Cerrado,No aplica</t>
  </si>
  <si>
    <t>840,2015-04-24,21:33,Narcotráfico,San Vicente,02/09/1964,Femenino,5,10/08/1957,Femenino,1,Sí,No aplica,No aplica,Ropa de marca,Sí,No,Cerrado,163</t>
  </si>
  <si>
    <t>841,2020-06-06,13:21,Homicidio,Cerro de las Rosas,20/04/2003,Femenino,1,03/09/2013,Femenino,1,Sí,No aplica,No aplica,Estafa bancaria,No,Sí,Abierto,300</t>
  </si>
  <si>
    <t>842,2017-10-18,16:39,Corrupción,Pueyrredón,05/01/1976,Femenino,4,12/04/1951,Femenino,2,No,No aplica,No aplica,Vidrios de comercio rotos,No,No,Cerrado,No aplica</t>
  </si>
  <si>
    <t>843,2017-10-21,14:20,Corrupción,Cerro de las Rosas,09/04/1962,Masculino,3,03/02/1967,Masculino,2,Sí,No aplica,No aplica,Contrato fraudulento,No,No,Abierto,62</t>
  </si>
  <si>
    <t>844,2020-07-06,22:57,Narcotráfico,Villa El Libertador,01/08/1959,Masculino,5,08/10/1992,Masculino,2,Sí,Sin arma,No aplica,Laptop marca HP,Sí,No,En investigación,71</t>
  </si>
  <si>
    <t>845,2018-04-09,9:12,Homicidio,Nueva Córdoba,17/02/1980,Masculino,3,25/07/1976,Masculino,1,No,No aplica,No aplica,Lavado de dinero,No,No,Abierto,No aplica</t>
  </si>
  <si>
    <t>846,2018-05-29,4:36,Vandalismo,General Paz,06/10/1997,Femenino,4,28/08/1946,Masculino,3,Sí,No aplica,No aplica,No aplica,No,Sí,Cerrado,262</t>
  </si>
  <si>
    <t>847,2023-12-23,0:29,Robo,Pueyrredón,25/08/1950,Masculino,1,25/11/1943,Femenino,1,Sí,No aplica,Sin agravantes,No aplica,No,No,Abierto,243</t>
  </si>
  <si>
    <t>848,2020-02-26,18:55,Narcotráfico,Argüello,03/09/1952,Masculino,1,03/03/1984,Femenino,2,No,No aplica,No aplica,Bicicleta,No,No,Cerrado,No aplica</t>
  </si>
  <si>
    <t>849,2018-11-28,15:10,Narcotráfico,Alta Córdoba,19/01/1976,Femenino,2,09/03/1972,Femenino,2,Sí,No aplica,Alevosía,No aplica,Sí,Sí,En investigación,162</t>
  </si>
  <si>
    <t>850,2018-02-09,22:14,Delitos financieros,General Paz,17/05/1986,Masculino,4,21/10/1954,Femenino,1,No,No aplica,No aplica,Cartera con documentación,No,No,Cerrado,No aplica</t>
  </si>
  <si>
    <t>851,2017-04-23,19:29,Violación,Alberdi,23/06/1969,Femenino,1,14/07/1966,Masculino,1,Sí,No aplica,No aplica,Ropa de marca,No,No,Abierto,16</t>
  </si>
  <si>
    <t>852,2021-10-21,21:57,Secuestro,Alta Córdoba,21/04/1994,Femenino,1,05/03/1943,Masculino,2,No,No aplica,No aplica,Celular,No,No,En investigación,No aplica</t>
  </si>
  <si>
    <t>853,2023-05-13,22:08,Robo,Cerro de las Rosas,28/09/1957,Masculino,2,14/05/1967,Femenino,2,Sí,Arma blanca,No aplica,Laptop marca HP,No,No,Cerrado,241</t>
  </si>
  <si>
    <t>854,2020-06-15,21:51,Violación,Alberdi,09/10/1959,Femenino,5,05/02/2014,Masculino,1,No,Arma blanca,No aplica,"Auto modelo XXX, patente XXX XXX",No,Sí,En investigación,No aplica</t>
  </si>
  <si>
    <t>855,2024-09-29,18:51,Corrupción,Alta Córdoba,12/10/1953,Masculino,2,22/05/1964,Masculino,2,Sí,Objeto contundente,Por vínculo,No aplica,No,No,Cerrado,186</t>
  </si>
  <si>
    <t>856,2022-03-31,21:28,Violación,Pueyrredón,24/08/2005,Femenino,2,15/12/1958,Femenino,2,Sí,Arma de fuego,Con ensañamiento,No aplica,Sí,Sí,Cerrado,55</t>
  </si>
  <si>
    <t>857,2021-08-25,15:30,Violación,Pueyrredón,20/12/1981,Femenino,2,13/09/2007,Masculino,2,Sí,No aplica,No aplica,Estafa bancaria,No,Sí,Cerrado,222</t>
  </si>
  <si>
    <t>858,2019-02-10,20:07,Narcotráfico,Nueva Córdoba,21/09/1951,Femenino,3,15/10/1984,Femenino,1,No,No aplica,No aplica,Celular,No,No,Abierto,No aplica</t>
  </si>
  <si>
    <t>859,2023-02-24,0:25,Corrupción,Argüello,02/04/1978,Femenino,2,03/08/1955,Femenino,1,Sí,No aplica,No aplica,Grafitis en edificios públicos,No,No,Cerrado,136</t>
  </si>
  <si>
    <t>860,2023-05-20,22:58,Hurto,Jardín Espinosa,25/01/1975,Femenino,5,06/02/1963,Femenino,2,Sí,Arma de fuego,Sin agravantes,No aplica,Sí,Sí,Cerrado,50</t>
  </si>
  <si>
    <t>861,2015-02-18,11:27,Corrupción,General Paz,22/10/1964,Masculino,3,02/06/1992,Masculino,1,Sí,No aplica,No aplica,Lavado de dinero,No,Sí,Abierto,224</t>
  </si>
  <si>
    <t>862,2022-02-17,19:26,Hurto,Alta Córdoba,27/08/2000,Masculino,1,19/04/1960,Femenino,3,Sí,No aplica,No aplica,Celular,Sí,No,Cerrado,8</t>
  </si>
  <si>
    <t>863,2024-03-06,18:35,Amenazas,Nueva Córdoba,11/01/1984,Masculino,3,09/12/2013,Femenino,1,Sí,No aplica,No aplica,Ropa de marca,Sí,Sí,Abierto,7</t>
  </si>
  <si>
    <t>864,2024-07-24,21:08,Secuestro,IPV Argüello,02/04/1950,Femenino,5,24/11/1998,Masculino,3,Sí,No aplica,No aplica,Grafitis en edificios públicos,No,No,Cerrado,90</t>
  </si>
  <si>
    <t>865,2015-02-03,18:34,Secuestro,General Paz,22/04/1990,Masculino,3,19/05/1977,Femenino,3,Sí,No aplica,No aplica,Plantas de marihuana,No,Sí,Abierto,8</t>
  </si>
  <si>
    <t>866,2024-11-15,21:06,Hurto,General Paz,07/12/1961,Masculino,1,21/04/1943,Masculino,1,Sí,Objeto contundente,Sin agravantes,No aplica,No,No,Abierto,16</t>
  </si>
  <si>
    <t>867,2023-10-14,13:40,Secuestro,Cerro de las Rosas,03/12/1994,Masculino,4,26/03/1977,Femenino,2,No,No aplica,No aplica,Evasión fiscal,No,Sí,Cerrado,No aplica</t>
  </si>
  <si>
    <t>868,2019-08-08,21:59,Vandalismo,Pueyrredón,13/06/1978,Masculino,5,04/02/1980,Femenino,2,Sí,No aplica,No aplica,Ropa de marca,No,Sí,Abierto,92</t>
  </si>
  <si>
    <t>869,2016-12-16,0:27,Corrupción,Argüello,01/05/1995,Masculino,5,25/12/2012,Masculino,1,Sí,No aplica,No aplica,Pasta base,No,Sí,Cerrado,225</t>
  </si>
  <si>
    <t>870,2020-05-28,21:10,Robo,Alta Córdoba,01/11/1988,Masculino,2,17/01/1991,Masculino,1,Sí,No aplica,No aplica,Celular,Sí,Sí,Abierto,60</t>
  </si>
  <si>
    <t>871,2017-12-24,23:04,Robo,Nueva Córdoba,07/08/1973,Femenino,5,20/09/1965,Femenino,2,Sí,No aplica,No aplica,Bicicleta,Sí,No,En investigación,66</t>
  </si>
  <si>
    <t>872,2022-05-01,2:32,Secuestro,Alta Córdoba,26/06/1961,Masculino,3,08/03/2002,Masculino,2,No,No aplica,No aplica,Pasta base,No,Sí,En investigación,No aplica</t>
  </si>
  <si>
    <t>873,2017-02-14,20:47,Robo,IPV Argüello,26/09/1995,Femenino,5,18/07/2003,Femenino,2,No,No aplica,No aplica,No aplica,No,No,En investigación,No aplica</t>
  </si>
  <si>
    <t>874,2021-08-22,21:29,Robo,Villa El Libertador,13/09/1963,Masculino,5,02/11/1967,Femenino,1,No,Arma de fuego,Con ensañamiento,No aplica,No,No,En investigación,No aplica</t>
  </si>
  <si>
    <t>875,2018-01-21,23:30,Narcotráfico,IPV Argüello,18/10/1985,Masculino,3,15/11/1954,Femenino,3,Sí,Sin arma,Sin agravantes,No aplica,Sí,No,Cerrado,71</t>
  </si>
  <si>
    <t>876,2023-11-03,8:15,Amenazas,Jardín Espinosa,04/06/2006,Masculino,5,03/12/1980,Masculino,3,Sí,No aplica,No aplica,Vidrios de comercio rotos,Sí,Sí,Cerrado,24</t>
  </si>
  <si>
    <t>877,2024-12-04,3:22,Narcotráfico,Jardín Espinosa,18/06/2004,Femenino,2,25/10/1996,Femenino,3,No,No aplica,No aplica,No aplica,No,No,Cerrado,No aplica</t>
  </si>
  <si>
    <t>878,2024-06-18,23:48,Hurto,Jardín Espinosa,12/11/1965,Femenino,3,19/06/1964,Masculino,1,No,Sin arma,No aplica,"Billetera con $15,000 ARG",No,No,Abierto,No aplica</t>
  </si>
  <si>
    <t>879,2017-09-14,17:40,Robo,Alta Córdoba,20/05/1965,Masculino,4,07/06/1949,Masculino,1,No,No aplica,No aplica,Dinero público desviado,Sí,No,Cerrado,No aplica</t>
  </si>
  <si>
    <t>880,2018-01-16,9:22,Narcotráfico,Centro,23/12/2006,Masculino,1,26/11/2001,Masculino,1,No,No aplica,No aplica,Evasión fiscal,No,No,Abierto,No aplica</t>
  </si>
  <si>
    <t>881,2020-08-13,23:12,Secuestro,IPV Argüello,06/04/1956,Masculino,5,08/09/1951,Femenino,1,Sí,Arma de fuego,No aplica,Laptop marca HP,No,Sí,Cerrado,105</t>
  </si>
  <si>
    <t>882,2019-05-03,3:46,Corrupción,Centro,21/09/2001,Femenino,1,02/06/1969,Masculino,1,No,No aplica,No aplica,No aplica,No,Sí,Abierto,No aplica</t>
  </si>
  <si>
    <t>883,2019-04-05,16:54,Homicidio,Pueyrredón,15/01/1958,Masculino,5,28/10/1990,Masculino,3,No,No aplica,No aplica,Cuentas falsas,Sí,No,Cerrado,No aplica</t>
  </si>
  <si>
    <t>884,2024-10-19,14:33,Fraude,Pueyrredón,23/11/1964,Masculino,3,10/05/1961,Femenino,2,No,No aplica,No aplica,Contrato fraudulento,No,Sí,Abierto,No aplica</t>
  </si>
  <si>
    <t>885,2018-12-02,12:20,Violación,Pueyrredón,15/07/1979,Masculino,4,15/02/1976,Femenino,3,Sí,No aplica,No aplica,Cuentas falsas,No,Sí,Cerrado,38</t>
  </si>
  <si>
    <t>886,2020-02-10,9:12,Violación,General Paz,05/10/1958,Femenino,5,20/05/1964,Femenino,2,No,No aplica,No aplica,Estafa bancaria,Sí,No,Cerrado,No aplica</t>
  </si>
  <si>
    <t>887,2015-09-04,11:08,Narcotráfico,General Paz,12/06/2001,Masculino,5,09/12/1995,Masculino,2,Sí,No aplica,No aplica,5kg de cocaína,No,No,Cerrado,219</t>
  </si>
  <si>
    <t>888,2018-10-29,14:22,Vandalismo,Alberdi,06/07/1993,Femenino,1,15/09/1947,Masculino,2,Sí,No aplica,No aplica,Estafa bancaria,No,Sí,Abierto,72</t>
  </si>
  <si>
    <t>889,2024-06-02,22:19,Amenazas,Pueyrredón,19/02/1963,Masculino,2,10/03/1945,Femenino,3,Sí,Arma de fuego,Con ensañamiento,No aplica,No,No,Abierto,178</t>
  </si>
  <si>
    <t>890,2020-12-01,20:32,Vandalismo,Cerro de las Rosas,07/08/2002,Masculino,4,06/10/1943,Masculino,1,No,Arma blanca,No aplica,"Celular, tarjetas bancarias",No,No,Cerrado,No aplica</t>
  </si>
  <si>
    <t>891,2018-06-11,18:34,Delitos financieros,Nueva Córdoba,08/05/1956,Femenino,5,13/06/1990,Femenino,1,No,No aplica,No aplica,No aplica,No,No,Cerrado,No aplica</t>
  </si>
  <si>
    <t>892,2016-04-21,19:39,Amenazas,Cerro de las Rosas,19/06/1994,Masculino,5,02/09/1958,Masculino,2,No,Arma blanca,Por vínculo,No aplica,Sí,Sí,Cerrado,No aplica</t>
  </si>
  <si>
    <t>893,2024-03-06,23:01,Violencia de género,Villa El Libertador,17/05/1996,Femenino,3,24/02/1967,Masculino,3,Sí,Sin arma,No aplica,Laptop marca HP,Sí,Sí,Abierto,143</t>
  </si>
  <si>
    <t>894,2021-08-11,9:47,Corrupción,Argüello,09/01/1964,Masculino,5,11/04/1991,Masculino,1,Sí,No aplica,No aplica,Contrato fraudulento,Sí,No,En investigación,213</t>
  </si>
  <si>
    <t>895,2018-10-12,4:44,Violación,Cerro de las Rosas,20/10/1975,Masculino,4,16/07/1945,Femenino,1,No,No aplica,No aplica,5kg de cocaína,No,Sí,En investigación,No aplica</t>
  </si>
  <si>
    <t>896,2024-03-28,14:28,Amenazas,Alta Córdoba,01/07/1950,Femenino,5,03/11/2002,Femenino,3,No,No aplica,No aplica,Cuentas falsas,Sí,No,Cerrado,No aplica</t>
  </si>
  <si>
    <t>897,2019-09-14,19:51,Amenazas,General Paz,21/12/2005,Masculino,3,27/02/1942,Masculino,1,Sí,No aplica,Por vínculo,No aplica,No,No,Abierto,160</t>
  </si>
  <si>
    <t>898,2024-05-01,22:26,Homicidio,San Vicente,27/06/1964,Masculino,3,06/09/2012,Femenino,3,Sí,Objeto contundente,No aplica,"Auto modelo XXX, patente XXX XXX",No,No,Abierto,17</t>
  </si>
  <si>
    <t>899,2020-10-10,22:00,Corrupción,San Vicente,10/04/1988,Femenino,2,18/04/2008,Masculino,3,Sí,Arma blanca,No aplica,"Auto modelo XXX, patente XXX XXX",Sí,Sí,Cerrado,230</t>
  </si>
  <si>
    <t>900,2019-07-29,19:00,Robo,Cerro de las Rosas,13/11/1990,Masculino,2,08/12/2008,Femenino,3,No,No aplica,No aplica,Pasta base,No,No,Cerrado,No aplica</t>
  </si>
  <si>
    <t>901,2019-12-14,17:12,Fraude,Centro,25/07/1979,Masculino,1,14/07/2013,Masculino,2,Sí,No aplica,No aplica,Dinero público desviado,No,Sí,Abierto,288</t>
  </si>
  <si>
    <t>902,2019-05-24,21:50,Robo,Argüello,16/02/1962,Femenino,5,24/05/1981,Masculino,2,No,No aplica,Sin agravantes,No aplica,Sí,Sí,Abierto,No aplica</t>
  </si>
  <si>
    <t>903,2024-03-18,18:06,Corrupción,IPV Argüello,23/10/1983,Masculino,3,26/10/1990,Masculino,3,No,No aplica,No aplica,Pasta base,No,Sí,Abierto,No aplica</t>
  </si>
  <si>
    <t>904,2016-08-04,9:00,Robo,Alta Córdoba,04/06/1961,Femenino,3,06/06/2005,Femenino,3,Sí,No aplica,No aplica,Evasión fiscal,No,Sí,En investigación,206</t>
  </si>
  <si>
    <t>905,2019-07-08,11:34,Secuestro,IPV Argüello,02/06/1956,Masculino,5,02/10/1960,Masculino,3,Sí,No aplica,No aplica,Dinero público desviado,Sí,Sí,En investigación,8</t>
  </si>
  <si>
    <t>906,2023-01-12,5:34,Fraude,San Vicente,19/09/1965,Masculino,3,03/03/1980,Masculino,1,Sí,No aplica,No aplica,No aplica,No,No,Abierto,193</t>
  </si>
  <si>
    <t>907,2016-09-08,10:49,Vandalismo,Argüello,04/08/1951,Femenino,2,22/07/1986,Masculino,1,Sí,No aplica,No aplica,Cuentas falsas,Sí,No,Cerrado,293</t>
  </si>
  <si>
    <t>908,2017-05-16,17:49,Homicidio,IPV Argüello,07/05/1983,Femenino,4,01/04/2007,Femenino,2,No,No aplica,No aplica,5kg de cocaína,No,No,Abierto,No aplica</t>
  </si>
  <si>
    <t>909,2021-10-25,12:13,Violencia de género,Nueva Córdoba,28/07/1993,Masculino,3,09/10/1974,Femenino,1,Sí,No aplica,No aplica,Dinero público desviado,No,Sí,Cerrado,164</t>
  </si>
  <si>
    <t>910,2020-05-13,9:22,Corrupción,Alberdi,18/04/2003,Masculino,2,06/01/1943,Masculino,2,No,No aplica,No aplica,Lavado de dinero,No,No,Cerrado,No aplica</t>
  </si>
  <si>
    <t>911,2023-05-29,19:39,Vandalismo,IPV Argüello,26/01/1987,Masculino,3,15/02/1942,Femenino,1,No,No aplica,No aplica,Cartera con documentación,No,Sí,Cerrado,No aplica</t>
  </si>
  <si>
    <t>912,2020-07-01,13:51,Narcotráfico,Centro,19/02/1966,Masculino,3,26/06/2001,Femenino,1,Sí,No aplica,No aplica,Vidrios de comercio rotos,No,Sí,Cerrado,122</t>
  </si>
  <si>
    <t>913,2023-07-17,16:17,Vandalismo,Centro,14/06/1964,Masculino,1,12/07/1985,Masculino,1,No,No aplica,No aplica,Dinero público desviado,No,Sí,Cerrado,No aplica</t>
  </si>
  <si>
    <t>914,2019-12-11,17:17,Homicidio,Cerro de las Rosas,27/08/1950,Femenino,5,16/10/1954,Masculino,1,Sí,No aplica,No aplica,Dinero público desviado,No,No,Cerrado,126</t>
  </si>
  <si>
    <t>915,2023-09-13,18:15,Homicidio,Argüello,17/08/1996,Femenino,2,16/08/1991,Femenino,1,Sí,No aplica,No aplica,Ropa de marca,No,No,En investigación,283</t>
  </si>
  <si>
    <t>916,2017-05-18,13:09,Violación,Nueva Córdoba,28/11/1960,Femenino,2,08/01/1956,Femenino,3,Sí,No aplica,No aplica,Lavado de dinero,No,Sí,Cerrado,120</t>
  </si>
  <si>
    <t>917,2022-11-14,20:39,Fraude,Alta Córdoba,21/12/1977,Masculino,4,07/11/1960,Masculino,1,No,Sin arma,Por vínculo,No aplica,No,No,Abierto,No aplica</t>
  </si>
  <si>
    <t>918,2019-04-11,16:34,Violación,Cerro de las Rosas,04/09/1953,Femenino,4,12/12/1972,Femenino,1,Sí,No aplica,No aplica,No aplica,No,Sí,Abierto,68</t>
  </si>
  <si>
    <t>919,2016-07-11,20:13,Hurto,Centro,17/07/1997,Femenino,1,08/09/1942,Masculino,3,No,Sin arma,No aplica,"Celular, tarjetas bancarias",No,Sí,Abierto,No aplica</t>
  </si>
  <si>
    <t>920,2020-09-15,17:34,Violencia de género,Nueva Córdoba,13/02/1996,Masculino,5,03/12/2013,Masculino,2,Sí,No aplica,No aplica,Lavado de dinero,No,No,Cerrado,63</t>
  </si>
  <si>
    <t>921,2019-03-29,23:48,Secuestro,General Paz,01/06/1959,Femenino,2,15/02/1952,Masculino,3,Sí,No aplica,No aplica,Cartera con documentación,No,No,Abierto,70</t>
  </si>
  <si>
    <t>922,2021-08-18,21:34,Violencia de género,Villa El Libertador,10/04/1971,Femenino,5,03/11/1999,Masculino,3,Sí,No aplica,No aplica,Vidrios de comercio rotos,No,No,Cerrado,9</t>
  </si>
  <si>
    <t>923,2015-09-01,11:11,Hurto,IPV Argüello,18/05/1995,Femenino,3,18/01/2012,Masculino,1,No,No aplica,No aplica,Contrato fraudulento,Sí,No,Abierto,No aplica</t>
  </si>
  <si>
    <t>924,2019-08-24,21:13,Robo,Alberdi,03/12/1954,Femenino,3,15/04/1997,Femenino,3,No,No aplica,No aplica,Plantas de marihuana,No,No,Cerrado,No aplica</t>
  </si>
  <si>
    <t>925,2017-06-28,23:25,Violencia de género,Nueva Córdoba,02/05/1993,Masculino,1,07/06/2009,Masculino,3,Sí,Arma de fuego,Con ensañamiento,No aplica,Sí,Sí,Cerrado,252</t>
  </si>
  <si>
    <t>926,2017-10-20,18:58,Vandalismo,Jardín Espinosa,11/05/1986,Femenino,2,17/10/1956,Masculino,3,Sí,No aplica,No aplica,Celular,Sí,No,Cerrado,184</t>
  </si>
  <si>
    <t>927,2023-02-07,14:54,Violencia de género,Cerro de las Rosas,23/12/1952,Masculino,2,18/04/1971,Masculino,2,No,No aplica,No aplica,Vidrios de comercio rotos,No,No,Cerrado,No aplica</t>
  </si>
  <si>
    <t>928,2024-12-10,14:00,Violencia de género,IPV Argüello,06/08/1991,Masculino,3,27/09/1986,Masculino,3,Sí,No aplica,No aplica,Evasión fiscal,No,No,Cerrado,106</t>
  </si>
  <si>
    <t>929,2022-02-03,3:16,Secuestro,Alta Córdoba,22/06/1979,Masculino,3,20/02/2003,Femenino,3,Sí,No aplica,Sin agravantes,No aplica,No,No,Cerrado,185</t>
  </si>
  <si>
    <t>930,2023-08-19,19:10,Vandalismo,Cerro de las Rosas,16/06/1970,Masculino,5,27/11/1959,Femenino,2,No,No aplica,No aplica,Grafitis en edificios públicos,Sí,Sí,En investigación,No aplica</t>
  </si>
  <si>
    <t>931,2021-05-22,23:22,Homicidio,San Vicente,08/06/1998,Femenino,5,27/09/1970,Femenino,1,No,Objeto contundente,Por vínculo,No aplica,No,No,En investigación,No aplica</t>
  </si>
  <si>
    <t>932,2023-11-08,11:51,Fraude,IPV Argüello,11/02/2005,Femenino,5,24/05/1983,Masculino,3,Sí,No aplica,No aplica,Estafa bancaria,No,No,Abierto,252</t>
  </si>
  <si>
    <t>933,2019-10-09,4:04,Robo,Cerro de las Rosas,12/01/2003,Femenino,5,13/06/1949,Femenino,2,Sí,No aplica,Por vínculo,No aplica,No,Sí,Abierto,84</t>
  </si>
  <si>
    <t>934,2015-08-30,19:06,Hurto,Nueva Córdoba,28/09/1955,Femenino,3,07/10/1960,Femenino,3,No,No aplica,No aplica,Ropa de marca,Sí,No,Abierto,No aplica</t>
  </si>
  <si>
    <t>935,2019-06-29,15:32,Fraude,Jardín Espinosa,23/11/1971,Femenino,4,13/07/1965,Femenino,1,Sí,No aplica,No aplica,No aplica,No,No,Cerrado,61</t>
  </si>
  <si>
    <t>936,2023-01-11,21:09,Delitos financieros,IPV Argüello,02/05/1965,Masculino,3,21/12/1973,Masculino,1,Sí,Arma blanca,No aplica,"Billetera con $15,000 ARG",No,No,Abierto,40</t>
  </si>
  <si>
    <t>937,2024-04-21,7:37,Violencia de género,Centro,27/07/2006,Masculino,5,16/11/1981,Femenino,3,No,No aplica,No aplica,Grafitis en edificios públicos,No,Sí,Abierto,No aplica</t>
  </si>
  <si>
    <t>938,2021-10-16,21:12,Violencia de género,General Paz,21/12/1959,Masculino,2,18/04/1944,Masculino,2,No,No aplica,No aplica,Celular,Sí,Sí,Abierto,No aplica</t>
  </si>
  <si>
    <t>939,2019-09-05,20:12,Amenazas,General Paz,22/01/1993,Femenino,4,28/12/1973,Femenino,3,Sí,Objeto contundente,No aplica,"Auto modelo XXX, patente XXX XXX",No,Sí,En investigación,94</t>
  </si>
  <si>
    <t>940,2018-09-21,23:50,Fraude,Pueyrredón,16/11/1998,Femenino,1,06/05/1984,Femenino,3,Sí,Sin arma,No aplica,"Auto modelo XXX, patente XXX XXX",No,No,Cerrado,237</t>
  </si>
  <si>
    <t>941,2017-08-18,9:17,Robo,Alta Córdoba,06/08/1957,Masculino,3,21/04/1947,Masculino,3,No,No aplica,No aplica,No aplica,Sí,No,Abierto,No aplica</t>
  </si>
  <si>
    <t>942,2016-06-01,23:43,Corrupción,Centro,18/07/1958,Femenino,4,27/01/1976,Masculino,1,Sí,Objeto contundente,Por vínculo,No aplica,No,No,Cerrado,21</t>
  </si>
  <si>
    <t>943,2018-05-20,15:24,Vandalismo,Centro,04/06/1976,Masculino,3,15/10/2010,Masculino,3,Sí,No aplica,No aplica,Evasión fiscal,No,Sí,Cerrado,186</t>
  </si>
  <si>
    <t>944,2023-10-10,12:37,Robo,Pueyrredón,08/03/1976,Masculino,2,06/05/1985,Femenino,1,No,No aplica,Con ensañamiento,No aplica,No,Sí,En investigación,No aplica</t>
  </si>
  <si>
    <t>945,2024-11-10,18:23,Fraude,Villa El Libertador,02/02/1982,Masculino,5,18/07/1961,Femenino,2,No,Sin arma,Por vínculo,No aplica,No,No,Cerrado,No aplica</t>
  </si>
  <si>
    <t>946,2018-07-24,13:10,Violencia de género,Pueyrredón,27/03/1960,Femenino,3,02/07/2015,Femenino,2,Sí,No aplica,No aplica,Lavado de dinero,No,No,Cerrado,267</t>
  </si>
  <si>
    <t>947,2015-10-05,18:46,Homicidio,Cerro de las Rosas,17/06/1996,Femenino,5,09/10/1959,Masculino,2,Sí,Arma blanca,Alevosía,No aplica,No,No,Abierto,170</t>
  </si>
  <si>
    <t>948,2015-05-19,11:57,Narcotráfico,Centro,26/06/1957,Masculino,1,13/02/1961,Femenino,2,Sí,No aplica,No aplica,Contrato fraudulento,Sí,No,Cerrado,211</t>
  </si>
  <si>
    <t>949,2023-12-16,22:38,Robo,Villa El Libertador,21/08/1997,Femenino,1,28/09/1993,Femenino,1,No,No aplica,No aplica,Bicicleta,No,No,Abierto,No aplica</t>
  </si>
  <si>
    <t>950,2021-06-01,0:36,Robo,Alberdi,17/01/2002,Femenino,1,07/03/2001,Femenino,3,No,No aplica,No aplica,Grafitis en edificios públicos,No,Sí,Cerrado,No aplica</t>
  </si>
  <si>
    <t>951,2017-11-18,16:33,Corrupción,Alta Córdoba,24/06/1988,Femenino,3,06/01/1978,Femenino,3,No,No aplica,No aplica,Cuentas falsas,No,Sí,En investigación,No aplica</t>
  </si>
  <si>
    <t>952,2021-06-08,15:52,Narcotráfico,General Paz,27/05/1980,Femenino,5,15/11/1983,Masculino,1,No,No aplica,No aplica,Cuentas falsas,No,No,Abierto,No aplica</t>
  </si>
  <si>
    <t>953,2019-07-22,10:37,Violación,Alta Córdoba,18/10/1981,Femenino,3,17/11/1978,Masculino,3,Sí,No aplica,No aplica,Cuentas falsas,No,No,Cerrado,217</t>
  </si>
  <si>
    <t>954,2023-07-07,19:29,Delitos financieros,IPV Argüello,05/07/2001,Femenino,4,08/09/1974,Masculino,1,No,No aplica,Con ensañamiento,No aplica,Sí,Sí,Cerrado,No aplica</t>
  </si>
  <si>
    <t>955,2022-09-08,9:44,Fraude,Argüello,27/05/1979,Masculino,5,27/03/1940,Femenino,3,No,No aplica,No aplica,Evasión fiscal,Sí,No,Abierto,No aplica</t>
  </si>
  <si>
    <t>956,2020-06-03,5:55,Hurto,Alta Córdoba,07/07/1996,Masculino,1,23/05/1966,Femenino,3,Sí,No aplica,No aplica,No aplica,Sí,No,Abierto,65</t>
  </si>
  <si>
    <t>957,2018-10-26,1:33,Robo,San Vicente,22/11/1993,Masculino,1,07/05/1973,Femenino,3,Sí,No aplica,Alevosía,No aplica,No,No,En investigación,280</t>
  </si>
  <si>
    <t>958,2022-03-08,10:13,Homicidio,IPV Argüello,02/07/1986,Masculino,2,08/02/1967,Masculino,3,No,No aplica,No aplica,Estafa bancaria,Sí,No,Abierto,No aplica</t>
  </si>
  <si>
    <t>959,2023-10-25,8:25,Secuestro,IPV Argüello,10/01/1950,Femenino,4,08/01/1954,Femenino,2,Sí,No aplica,No aplica,No aplica,Sí,No,Cerrado,263</t>
  </si>
  <si>
    <t>960,2021-06-23,13:17,Violación,Alta Córdoba,11/04/2001,Masculino,4,28/12/1956,Femenino,3,Sí,No aplica,No aplica,Contrato fraudulento,No,No,Abierto,97</t>
  </si>
  <si>
    <t>961,2021-03-25,22:47,Fraude,Cerro de las Rosas,16/05/1967,Femenino,2,17/07/1947,Femenino,3,Sí,Arma blanca,No aplica,"Celular, tarjetas bancarias",No,No,En investigación,116</t>
  </si>
  <si>
    <t>962,2021-01-31,16:54,Narcotráfico,IPV Argüello,16/01/1980,Femenino,2,11/10/1956,Femenino,1,No,No aplica,No aplica,Cuentas falsas,Sí,No,Abierto,No aplica</t>
  </si>
  <si>
    <t>963,2019-08-01,20:25,Vandalismo,Pueyrredón,05/12/1975,Femenino,4,09/09/1997,Masculino,3,Sí,No aplica,No aplica,Bicicleta,Sí,No,Abierto,246</t>
  </si>
  <si>
    <t>964,2018-01-27,19:44,Violencia de género,Alta Córdoba,22/04/1988,Masculino,2,07/02/1944,Masculino,2,No,No aplica,Con ensañamiento,No aplica,No,Sí,Cerrado,No aplica</t>
  </si>
  <si>
    <t>965,2015-12-28,12:11,Robo,Alberdi,02/02/1983,Masculino,3,04/10/1989,Femenino,2,Sí,No aplica,No aplica,Cuentas falsas,No,No,Cerrado,109</t>
  </si>
  <si>
    <t>966,2021-10-29,6:27,Fraude,Alberdi,26/12/1958,Masculino,3,22/01/2005,Femenino,3,Sí,No aplica,Sin agravantes,No aplica,No,Sí,Cerrado,240</t>
  </si>
  <si>
    <t>967,2023-01-19,6:41,Secuestro,Pueyrredón,26/08/1953,Masculino,3,05/01/1982,Masculino,2,No,No aplica,No aplica,Vidrios de comercio rotos,No,No,Abierto,No aplica</t>
  </si>
  <si>
    <t>968,2016-05-31,7:51,Secuestro,Cerro de las Rosas,16/06/1954,Masculino,4,21/10/2008,Masculino,2,No,No aplica,No aplica,Vidrios de comercio rotos,Sí,No,Abierto,No aplica</t>
  </si>
  <si>
    <t>969,2017-03-07,22:53,Corrupción,San Vicente,03/10/1953,Femenino,3,03/03/1981,Femenino,3,Sí,Arma blanca,No aplica,Laptop marca HP,No,Sí,Abierto,219</t>
  </si>
  <si>
    <t>970,2020-11-07,16:46,Homicidio,Centro,23/05/1994,Masculino,4,19/06/1980,Femenino,2,No,No aplica,No aplica,Lavado de dinero,No,No,Abierto,No aplica</t>
  </si>
  <si>
    <t>971,2015-12-04,20:15,Amenazas,IPV Argüello,18/03/1967,Femenino,3,04/02/1985,Femenino,1,Sí,No aplica,No aplica,Celular,No,Sí,Abierto,202</t>
  </si>
  <si>
    <t>972,2016-05-02,16:41,Robo,Alta Córdoba,27/05/1983,Masculino,5,15/08/1971,Masculino,3,Sí,No aplica,No aplica,Contrato fraudulento,No,No,Cerrado,227</t>
  </si>
  <si>
    <t>973,2018-02-15,18:24,Vandalismo,Alta Córdoba,28/06/1978,Femenino,3,06/04/1974,Femenino,2,Sí,No aplica,Alevosía,No aplica,No,No,Cerrado,97</t>
  </si>
  <si>
    <t>974,2019-05-23,23:40,Violencia de género,San Vicente,09/07/1992,Femenino,2,27/12/1997,Femenino,3,Sí,Sin arma,No aplica,"Billetera con $15,000 ARG",Sí,No,Abierto,167</t>
  </si>
  <si>
    <t>975,2024-11-22,11:34,Secuestro,Pueyrredón,02/04/2001,Femenino,5,15/05/1942,Femenino,1,Sí,No aplica,No aplica,Vidrios de comercio rotos,Sí,Sí,Cerrado,266</t>
  </si>
  <si>
    <t>976,2020-08-19,9:53,Delitos financieros,Argüello,23/01/1972,Masculino,2,16/06/1951,Masculino,3,Sí,No aplica,No aplica,Cuentas falsas,No,No,Abierto,7</t>
  </si>
  <si>
    <t>977,2022-03-08,16:26,Robo,IPV Argüello,07/12/1957,Femenino,3,16/02/1987,Femenino,2,Sí,No aplica,No aplica,Lavado de dinero,Sí,No,Abierto,182</t>
  </si>
  <si>
    <t>978,2021-11-04,21:46,Robo,Alta Córdoba,16/05/1989,Masculino,2,20/07/1974,Femenino,3,Sí,Arma blanca,No aplica,"Billetera con $15,000 ARG",No,No,Cerrado,6</t>
  </si>
  <si>
    <t>979,2023-08-05,13:45,Narcotráfico,Nueva Córdoba,23/07/1978,Masculino,4,04/09/2015,Masculino,3,No,No aplica,Con ensañamiento,No aplica,No,No,Abierto,No aplica</t>
  </si>
  <si>
    <t>980,2016-04-02,22:56,Hurto,Pueyrredón,22/05/1996,Femenino,4,16/12/2010,Femenino,3,Sí,No aplica,No aplica,Celular,No,Sí,Abierto,27</t>
  </si>
  <si>
    <t>981,2024-10-20,21:29,Homicidio,Cerro de las Rosas,23/07/1978,Femenino,1,22/03/1945,Masculino,1,No,Arma blanca,No aplica,"Celular, tarjetas bancarias",No,Sí,Cerrado,No aplica</t>
  </si>
  <si>
    <t>982,2017-07-20,12:08,Amenazas,Nueva Córdoba,24/08/2006,Femenino,2,25/09/1968,Masculino,1,Sí,No aplica,No aplica,Dinero público desviado,No,No,Cerrado,148</t>
  </si>
  <si>
    <t>983,2015-07-26,14:59,Fraude,General Paz,06/07/1986,Femenino,1,09/01/1959,Masculino,1,No,No aplica,No aplica,Lavado de dinero,No,No,Cerrado,No aplica</t>
  </si>
  <si>
    <t>984,2021-05-27,15:29,Violencia de género,Centro,07/04/1970,Masculino,4,07/07/1943,Femenino,1,Sí,No aplica,No aplica,Plantas de marihuana,No,No,Abierto,201</t>
  </si>
  <si>
    <t>985,2022-01-14,13:47,Hurto,Alberdi,09/06/1971,Femenino,5,25/05/1955,Masculino,2,No,No aplica,No aplica,Evasión fiscal,Sí,No,Abierto,No aplica</t>
  </si>
  <si>
    <t>986,2020-06-13,16:22,Robo,Nueva Córdoba,22/10/1979,Femenino,4,14/02/2010,Masculino,1,No,No aplica,No aplica,Grafitis en edificios públicos,No,No,Cerrado,No aplica</t>
  </si>
  <si>
    <t>987,2017-01-05,20:33,Delitos financieros,Alta Córdoba,06/06/1966,Masculino,5,15/01/1953,Masculino,3,No,No aplica,No aplica,Cartera con documentación,No,Sí,Cerrado,No aplica</t>
  </si>
  <si>
    <t>988,2022-07-28,11:35,Fraude,Centro,21/10/1950,Masculino,5,17/02/1994,Femenino,1,No,No aplica,No aplica,Evasión fiscal,No,No,En investigación,No aplica</t>
  </si>
  <si>
    <t>989,2020-01-31,15:50,Delitos financieros,Alta Córdoba,19/06/2001,Masculino,1,28/11/1963,Masculino,3,No,No aplica,No aplica,Contrato fraudulento,Sí,No,En investigación,No aplica</t>
  </si>
  <si>
    <t>990,2023-10-31,7:08,Violencia de género,Cerro de las Rosas,21/06/2002,Femenino,5,07/06/2011,Femenino,2,No,No aplica,No aplica,Grafitis en edificios públicos,No,No,Cerrado,No aplica</t>
  </si>
  <si>
    <t>991,2023-06-20,21:30,Fraude,Argüello,23/02/1992,Femenino,4,20/04/1972,Femenino,1,Sí,Sin arma,Sin agravantes,No aplica,Sí,Sí,Cerrado,212</t>
  </si>
  <si>
    <t>992,2018-08-29,12:43,Violación,Cerro de las Rosas,05/06/1997,Femenino,4,04/10/1980,Masculino,1,No,No aplica,No aplica,Lavado de dinero,No,No,Abierto,No aplica</t>
  </si>
  <si>
    <t>993,2020-07-20,10:03,Homicidio,IPV Argüello,01/11/1973,Masculino,2,18/12/1956,Masculino,1,Sí,No aplica,No aplica,Estafa bancaria,Sí,Sí,Abierto,197</t>
  </si>
  <si>
    <t>994,2021-09-26,12:19,Hurto,Argüello,03/04/1988,Femenino,5,25/02/2004,Femenino,1,No,No aplica,No aplica,Cuentas falsas,No,Sí,Cerrado,No aplica</t>
  </si>
  <si>
    <t>995,2023-11-21,11:46,Robo,Nueva Córdoba,20/10/2004,Femenino,4,18/07/1975,Femenino,1,No,No aplica,No aplica,No aplica,Sí,Sí,Abierto,No aplica</t>
  </si>
  <si>
    <t>996,2018-07-29,16:54,Amenazas,Alta Córdoba,10/03/1964,Masculino,2,06/08/1956,Masculino,1,No,No aplica,No aplica,Lavado de dinero,No,No,En investigación,No aplica</t>
  </si>
  <si>
    <t>997,2024-06-17,21:14,Secuestro,Villa El Libertador,27/04/1975,Femenino,3,04/08/1962,Femenino,1,Sí,Sin arma,No aplica,"Celular, tarjetas bancarias",No,Sí,Cerrado,128</t>
  </si>
  <si>
    <t>998,2023-01-27,13:30,Amenazas,Centro,01/09/1993,Femenino,4,25/06/1991,Femenino,1,Sí,No aplica,No aplica,Lavado de dinero,No,No,Cerrado,181</t>
  </si>
  <si>
    <t>999,2020-11-13,19:27,Homicidio,Centro,18/02/1991,Femenino,5,24/08/1977,Femenino,1,No,Arma de fuego,Alevosía,No aplica,No,No,En investigación,No aplica</t>
  </si>
  <si>
    <t>1000,2021-02-22,7:13,Corrupción,Argüello,10/11/1962,Masculino,5,25/07/2002,Masculino,1,No,No aplica,No aplica,No aplica,Sí,No,Abierto,No aplica</t>
  </si>
  <si>
    <t>Columna1</t>
  </si>
  <si>
    <t>EDAD DELINCUENTE</t>
  </si>
  <si>
    <t>EDAD VICTIMA</t>
  </si>
  <si>
    <t>EDAD</t>
  </si>
  <si>
    <t>RANGO ETARIO</t>
  </si>
  <si>
    <t>18 - 25</t>
  </si>
  <si>
    <t>26 - 35</t>
  </si>
  <si>
    <t>36 - 45</t>
  </si>
  <si>
    <t>46 - 55</t>
  </si>
  <si>
    <t>56 - 65</t>
  </si>
  <si>
    <t>&gt;65</t>
  </si>
  <si>
    <t>RANGO ETAREO DEL.</t>
  </si>
  <si>
    <t>&lt;=17</t>
  </si>
  <si>
    <t>RANGO ETAREO VIC.</t>
  </si>
  <si>
    <t>Columna2</t>
  </si>
  <si>
    <t>LONGITUD</t>
  </si>
  <si>
    <t>LATITUD</t>
  </si>
  <si>
    <t>LATITUD &amp; LONGITUD</t>
  </si>
  <si>
    <t>Etiquetas de fila</t>
  </si>
  <si>
    <t>Total general</t>
  </si>
  <si>
    <t>AÑO</t>
  </si>
  <si>
    <t>2015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</si>
  <si>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</si>
  <si>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</si>
  <si>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</si>
  <si>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</si>
  <si>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</si>
  <si>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</si>
  <si>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</si>
  <si>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</si>
  <si>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</si>
  <si>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</si>
  <si>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</si>
  <si>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</si>
  <si>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</si>
  <si>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</si>
  <si>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</si>
  <si>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</si>
  <si>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</si>
  <si>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</si>
  <si>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</si>
  <si>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</si>
  <si>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</si>
  <si>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MES</t>
  </si>
  <si>
    <t>DÍA</t>
  </si>
  <si>
    <t/>
  </si>
  <si>
    <t>Ícono vic.</t>
  </si>
  <si>
    <t>Ícono del.</t>
  </si>
  <si>
    <t>Cuenta de RANGO ETAREO DEL.</t>
  </si>
  <si>
    <t>C. Tipo de delito</t>
  </si>
  <si>
    <t>Cuenta de Hubo Arresto</t>
  </si>
  <si>
    <t>No info</t>
  </si>
  <si>
    <t>Etiquetas de columna</t>
  </si>
  <si>
    <t>Cuenta de RANGO ETAREO VIC.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</si>
  <si>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</si>
  <si>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</si>
  <si>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</si>
  <si>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</si>
  <si>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</si>
  <si>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</si>
  <si>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</si>
  <si>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</si>
  <si>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</si>
  <si>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</si>
  <si>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12</t>
  </si>
  <si>
    <t>14</t>
  </si>
  <si>
    <t>Cuenta de Ubicación</t>
  </si>
  <si>
    <t>Drogas</t>
  </si>
  <si>
    <t>Alcohol</t>
  </si>
  <si>
    <t>Total No</t>
  </si>
  <si>
    <t>Total Sí</t>
  </si>
  <si>
    <t>Total Drogas</t>
  </si>
  <si>
    <t>Total Alcohol</t>
  </si>
  <si>
    <t>Variacion % promedio x año (drogas)</t>
  </si>
  <si>
    <t>Variacion % promedio xaño (alcohol)</t>
  </si>
  <si>
    <t>Porcentaje del total:</t>
  </si>
  <si>
    <t>No hay información</t>
  </si>
  <si>
    <t>(Utiliza armas)</t>
  </si>
  <si>
    <t>del total de arrestos</t>
  </si>
  <si>
    <t>El objetivo es proporcionar una visión clara de la situación delictiva y generar información útil para la toma de decisiones en seguridad y prevención del crimen.</t>
  </si>
  <si>
    <t xml:space="preserve">se identifican tendencias, patrones delictivos, ubicaciones más afectadas y la efectividad policial en la resolución de los casos. </t>
  </si>
  <si>
    <t>HALLAZGOS CLAVE</t>
  </si>
  <si>
    <t>🕒 Horarios de mayor riesgo</t>
  </si>
  <si>
    <t>Los delitos se concentran principalmente en dos franjas horarias:</t>
  </si>
  <si>
    <t>📌 Zonas más afectadas</t>
  </si>
  <si>
    <t>Los barrios con mayores tasas de criminalidad son:</t>
  </si>
  <si>
    <t xml:space="preserve">    INTRODUCCIÓN</t>
  </si>
  <si>
    <t xml:space="preserve">     POSIBLES CAUSAS Y CONTEXTO</t>
  </si>
  <si>
    <r>
      <t xml:space="preserve">💊 </t>
    </r>
    <r>
      <rPr>
        <b/>
        <sz val="11"/>
        <color theme="0"/>
        <rFont val="Segoe UI"/>
        <family val="2"/>
      </rPr>
      <t>Delitos vinculados al consumo de drogas</t>
    </r>
  </si>
  <si>
    <t>Reforzar la seguridad en zonas de alta incidencia delictiva, especialmente en horarios nocturnos.</t>
  </si>
  <si>
    <t xml:space="preserve">     CONCLUSIONES Y RECOMENDACIONES</t>
  </si>
  <si>
    <r>
      <t xml:space="preserve">✅ </t>
    </r>
    <r>
      <rPr>
        <b/>
        <sz val="11"/>
        <color theme="0"/>
        <rFont val="Segoe UI"/>
        <family val="2"/>
      </rPr>
      <t>Mayor presencia policial en horarios críticos</t>
    </r>
  </si>
  <si>
    <t xml:space="preserve">     REFLEXIÓN FINAL</t>
  </si>
  <si>
    <t xml:space="preserve">📍 Aumento de delitos entre 2015 y 2024
</t>
  </si>
  <si>
    <t>TASA DE CRECIMIENTO PROMEDIO ANUAL:</t>
  </si>
  <si>
    <t>CRECIMIENTO TOTAL:</t>
  </si>
  <si>
    <t>Tomando como comparación los años 2015 y 2024, se ha registrado un incremento total del 26,14% de crímenes, siendo narcotráfico y hurto los crímenes más comunes</t>
  </si>
  <si>
    <t>21:00 a 22:00 hs: Incremento en hurtos, delitos financieros y narcotráfico.</t>
  </si>
  <si>
    <t>10:00 y 15:00 hs: Mayor incidencia de narcotráfico, robo y violaciones.</t>
  </si>
  <si>
    <t>(en blanco)</t>
  </si>
  <si>
    <r>
      <rPr>
        <b/>
        <sz val="10"/>
        <color theme="0"/>
        <rFont val="Segoe UI"/>
        <family val="2"/>
      </rPr>
      <t xml:space="preserve">Alta Córdoba: </t>
    </r>
    <r>
      <rPr>
        <sz val="10"/>
        <color theme="0"/>
        <rFont val="Segoe UI"/>
        <family val="2"/>
      </rPr>
      <t>Partes iguales de hurto, robo y vandalismo.</t>
    </r>
  </si>
  <si>
    <r>
      <rPr>
        <b/>
        <sz val="10"/>
        <color theme="0"/>
        <rFont val="Segoe UI"/>
        <family val="2"/>
      </rPr>
      <t>Pueyrredón:</t>
    </r>
    <r>
      <rPr>
        <sz val="10"/>
        <color theme="0"/>
        <rFont val="Segoe UI"/>
        <family val="2"/>
      </rPr>
      <t xml:space="preserve"> Mayor cantidad de violaciones y narcotrafico.</t>
    </r>
  </si>
  <si>
    <r>
      <rPr>
        <b/>
        <sz val="10"/>
        <color theme="0"/>
        <rFont val="Segoe UI"/>
        <family val="2"/>
      </rPr>
      <t>IPV Arguello:</t>
    </r>
    <r>
      <rPr>
        <sz val="10"/>
        <color theme="0"/>
        <rFont val="Segoe UI"/>
        <family val="2"/>
      </rPr>
      <t xml:space="preserve"> Alto porcentaje de secuestros y delitos financieros.</t>
    </r>
  </si>
  <si>
    <t>EFECTIVIDAD POLICIAL:</t>
  </si>
  <si>
    <t>(arrestos)</t>
  </si>
  <si>
    <t>🚔 Efectividad policial y condenas</t>
  </si>
  <si>
    <t>Este informe presenta un análisis detallado de los crímenes ficticios ocurridos en la ciudad de Córdoba entre 2015 y 2024. A través de datos estructurados,</t>
  </si>
  <si>
    <t>Solo el 50,5% de los delitos reportados resultaron en arrestos, de los cuales 100% terminó en condenas efectivas.</t>
  </si>
  <si>
    <t>🍸 Delitos vinculados al consumo de alcohol</t>
  </si>
  <si>
    <r>
      <t xml:space="preserve">Se observó que casi el </t>
    </r>
    <r>
      <rPr>
        <b/>
        <sz val="10"/>
        <color theme="0"/>
        <rFont val="Segoe UI"/>
        <family val="2"/>
      </rPr>
      <t>8% de los arrestos</t>
    </r>
    <r>
      <rPr>
        <sz val="10"/>
        <color theme="0"/>
        <rFont val="Segoe UI"/>
        <family val="2"/>
      </rPr>
      <t xml:space="preserve"> estaban relacionados con el consumo de alcohol en el momento del crimen.</t>
    </r>
  </si>
  <si>
    <r>
      <t xml:space="preserve">Se observó que más del </t>
    </r>
    <r>
      <rPr>
        <b/>
        <sz val="10"/>
        <color theme="0"/>
        <rFont val="Segoe UI"/>
        <family val="2"/>
      </rPr>
      <t>12% de los arrestos</t>
    </r>
    <r>
      <rPr>
        <sz val="10"/>
        <color theme="0"/>
        <rFont val="Segoe UI"/>
        <family val="2"/>
      </rPr>
      <t xml:space="preserve"> estaban relacionados con el consumo de drogas en el momento del crimen.</t>
    </r>
  </si>
  <si>
    <r>
      <t xml:space="preserve">🔫 </t>
    </r>
    <r>
      <rPr>
        <b/>
        <sz val="11"/>
        <color theme="0"/>
        <rFont val="Segoe UI"/>
        <family val="2"/>
      </rPr>
      <t>Uso de armas</t>
    </r>
  </si>
  <si>
    <r>
      <t xml:space="preserve">El </t>
    </r>
    <r>
      <rPr>
        <b/>
        <sz val="10"/>
        <color theme="0"/>
        <rFont val="Segoe UI"/>
        <family val="2"/>
      </rPr>
      <t>16% de los delincuentes arrestados</t>
    </r>
    <r>
      <rPr>
        <sz val="10"/>
        <color theme="0"/>
        <rFont val="Segoe UI"/>
        <family val="2"/>
      </rPr>
      <t xml:space="preserve"> poseían armas en el momento del crimen.</t>
    </r>
  </si>
  <si>
    <r>
      <t xml:space="preserve">✅ </t>
    </r>
    <r>
      <rPr>
        <b/>
        <sz val="11"/>
        <color theme="0"/>
        <rFont val="Segoe UI"/>
        <family val="2"/>
      </rPr>
      <t>Programas de control y reducción del consumo de alcohol y drogas.</t>
    </r>
  </si>
  <si>
    <t>Controles en bares y eventos nocturnos sumado a etrategias de educación y prevención desde edades tempranas.</t>
  </si>
  <si>
    <r>
      <t xml:space="preserve">✅ </t>
    </r>
    <r>
      <rPr>
        <b/>
        <sz val="11"/>
        <color theme="0"/>
        <rFont val="Segoe UI"/>
        <family val="2"/>
      </rPr>
      <t>Mayor inversión en tecnología y seguridad ciudadana.</t>
    </r>
  </si>
  <si>
    <t>Cámaras de vigilancia en zonas críticas y agregar botones de pánico y sistemas de alerta vecinal.</t>
  </si>
  <si>
    <t xml:space="preserve">son abordados con arrestos y gracias a la efectividad judicial el 100% de ellos son condenados. </t>
  </si>
  <si>
    <r>
      <t xml:space="preserve">Los datos reflejan una </t>
    </r>
    <r>
      <rPr>
        <b/>
        <sz val="11"/>
        <color theme="0"/>
        <rFont val="Calibri"/>
        <family val="2"/>
        <scheme val="minor"/>
      </rPr>
      <t>tendencia en aumento</t>
    </r>
    <r>
      <rPr>
        <sz val="11"/>
        <color theme="0"/>
        <rFont val="Calibri"/>
        <family val="2"/>
        <scheme val="minor"/>
      </rPr>
      <t xml:space="preserve"> de delitos, se observa también una fuerte influencia de sustancias y armas en estos casos. Poco más de la mitad de los casos </t>
    </r>
  </si>
  <si>
    <t>domingo</t>
  </si>
  <si>
    <t>miércoles</t>
  </si>
  <si>
    <t>sábado</t>
  </si>
  <si>
    <t>lunes</t>
  </si>
  <si>
    <t>martes</t>
  </si>
  <si>
    <t>jueves</t>
  </si>
  <si>
    <t>viernes</t>
  </si>
  <si>
    <t>Cuenta de Tipo de delito</t>
  </si>
  <si>
    <t>Criminales: Predominan mascullinos de 36 a 45 años</t>
  </si>
  <si>
    <t>Victimas: Predominan masculinos mayores a 65 años</t>
  </si>
  <si>
    <t>¿Cuál es la edad promedio de los delincuentes y las víctimas?</t>
  </si>
  <si>
    <t>¿Cuáles son los días y horarios con mayor cantidad de delitos?</t>
  </si>
  <si>
    <t>Los días jueves reportan más delitos y la franja horaria entre las 21 y las 22 hs</t>
  </si>
  <si>
    <t>El 16%</t>
  </si>
  <si>
    <t>¿Qué porcentaje de crímenes involucra armas?</t>
  </si>
  <si>
    <t>¿Cuántos crímenes se cometen bajo la influencia de drogas o alcohol?</t>
  </si>
  <si>
    <t>¿Cuál es la evolución del crimen en Córdoba entre 2015 y 2024 y cuáles son las zonas con mayor incidencia de delitos y qué tipos de delitos predominan en cada zona?</t>
  </si>
  <si>
    <t>Aumento del 26,14% total entre 2015-2024, la mayoría de delitos predominan en B. Pueyrredón</t>
  </si>
  <si>
    <t>Alcohol: 7,59%</t>
  </si>
  <si>
    <t>Drogas: 12,74%</t>
  </si>
  <si>
    <t>¿Cuáles son los delitos más frecuentes en cada año?</t>
  </si>
  <si>
    <t>Predomina el narcotráfico con un total de 103 casos en 1000</t>
  </si>
  <si>
    <t xml:space="preserve">                   Preguntas y respuestas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</si>
</sst>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F400]h:mm:ss\ AM/PM"/>
    <numFmt numFmtId="165" formatCode="0.000000"/>
    <numFmt numFmtId="166" formatCode="yyyy"/>
    <numFmt numFmtId="167" formatCode="mmmm"/>
    <numFmt numFmtId="168" formatCode="dddd"/>
    <numFmt numFmtId="169" formatCode="0.0%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Segoe UI Emoji"/>
      <family val="2"/>
    </font>
    <font>
      <sz val="11"/>
      <color theme="0"/>
      <name val="Segoe UI Black"/>
      <family val="2"/>
    </font>
    <font>
      <sz val="11"/>
      <color theme="0"/>
      <name val="Segoe UI"/>
      <family val="2"/>
    </font>
    <font>
      <sz val="10"/>
      <color theme="0"/>
      <name val="Segoe UI"/>
      <family val="2"/>
    </font>
    <font>
      <b/>
      <sz val="10"/>
      <color theme="0"/>
      <name val="Segoe UI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egoe UI"/>
      <family val="2"/>
    </font>
    <font>
      <b/>
      <sz val="12"/>
      <color theme="0"/>
      <name val="Segoe UI Black"/>
      <family val="2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60000"/>
        <bgColor indexed="64"/>
      </patternFill>
    </fill>
    <fill>
      <patternFill patternType="solid">
        <fgColor rgb="FFC86400"/>
        <bgColor indexed="64"/>
      </patternFill>
    </fill>
    <fill>
      <patternFill patternType="solid">
        <fgColor rgb="FFDCB400"/>
        <bgColor indexed="64"/>
      </patternFill>
    </fill>
    <fill>
      <patternFill patternType="solid">
        <fgColor rgb="FF142864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1C1C1E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94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NumberFormat="1"/>
    <xf numFmtId="0" fontId="2" fillId="0" borderId="2" xfId="0" applyNumberFormat="1" applyFont="1" applyFill="1" applyBorder="1"/>
    <xf numFmtId="0" fontId="2" fillId="0" borderId="1" xfId="0" applyNumberFormat="1" applyFont="1" applyFill="1" applyBorder="1"/>
    <xf numFmtId="0" fontId="2" fillId="0" borderId="0" xfId="0" applyFont="1" applyFill="1"/>
    <xf numFmtId="1" fontId="0" fillId="0" borderId="0" xfId="0" applyNumberFormat="1"/>
    <xf numFmtId="0" fontId="0" fillId="0" borderId="0" xfId="0" quotePrefix="1"/>
    <xf numFmtId="0" fontId="0" fillId="2" borderId="0" xfId="0" applyFill="1"/>
    <xf numFmtId="1" fontId="0" fillId="2" borderId="0" xfId="0" applyNumberForma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0" borderId="0" xfId="0" applyNumberFormat="1" applyFont="1" applyFill="1" applyBorder="1"/>
    <xf numFmtId="0" fontId="0" fillId="0" borderId="0" xfId="0" applyNumberFormat="1" applyFont="1" applyFill="1"/>
    <xf numFmtId="165" fontId="0" fillId="0" borderId="0" xfId="0" applyNumberFormat="1"/>
    <xf numFmtId="165" fontId="0" fillId="0" borderId="0" xfId="0" quotePrefix="1" applyNumberFormat="1" applyFont="1" applyFill="1"/>
    <xf numFmtId="165" fontId="0" fillId="0" borderId="0" xfId="0" quotePrefix="1" applyNumberFormat="1" applyFont="1" applyFill="1" applyAlignment="1">
      <alignment wrapText="1"/>
    </xf>
    <xf numFmtId="165" fontId="0" fillId="0" borderId="0" xfId="0" quotePrefix="1" applyNumberFormat="1" applyAlignment="1">
      <alignment wrapText="1"/>
    </xf>
    <xf numFmtId="165" fontId="0" fillId="2" borderId="0" xfId="0" applyNumberFormat="1" applyFill="1"/>
    <xf numFmtId="165" fontId="0" fillId="0" borderId="0" xfId="0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0" fontId="0" fillId="0" borderId="0" xfId="0" applyNumberFormat="1"/>
    <xf numFmtId="9" fontId="0" fillId="0" borderId="0" xfId="1" applyFont="1"/>
    <xf numFmtId="169" fontId="0" fillId="0" borderId="0" xfId="1" applyNumberFormat="1" applyFont="1"/>
    <xf numFmtId="9" fontId="0" fillId="0" borderId="0" xfId="0" applyNumberFormat="1"/>
    <xf numFmtId="9" fontId="6" fillId="0" borderId="0" xfId="0" applyNumberFormat="1" applyFont="1"/>
    <xf numFmtId="10" fontId="0" fillId="0" borderId="0" xfId="1" applyNumberFormat="1" applyFont="1"/>
    <xf numFmtId="0" fontId="1" fillId="0" borderId="0" xfId="0" applyFont="1" applyFill="1" applyBorder="1"/>
    <xf numFmtId="0" fontId="0" fillId="0" borderId="0" xfId="0" applyNumberFormat="1" applyBorder="1"/>
    <xf numFmtId="0" fontId="8" fillId="7" borderId="0" xfId="0" applyFont="1" applyFill="1"/>
    <xf numFmtId="0" fontId="9" fillId="7" borderId="0" xfId="0" applyFont="1" applyFill="1" applyBorder="1"/>
    <xf numFmtId="0" fontId="0" fillId="7" borderId="0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4" xfId="0" applyFont="1" applyFill="1" applyBorder="1"/>
    <xf numFmtId="0" fontId="0" fillId="7" borderId="5" xfId="0" applyFont="1" applyFill="1" applyBorder="1"/>
    <xf numFmtId="0" fontId="0" fillId="7" borderId="6" xfId="0" applyFont="1" applyFill="1" applyBorder="1"/>
    <xf numFmtId="0" fontId="0" fillId="7" borderId="7" xfId="0" applyFont="1" applyFill="1" applyBorder="1"/>
    <xf numFmtId="0" fontId="0" fillId="7" borderId="0" xfId="0" applyFont="1" applyFill="1" applyBorder="1"/>
    <xf numFmtId="0" fontId="0" fillId="7" borderId="8" xfId="0" applyFont="1" applyFill="1" applyBorder="1"/>
    <xf numFmtId="0" fontId="0" fillId="7" borderId="9" xfId="0" applyFont="1" applyFill="1" applyBorder="1"/>
    <xf numFmtId="0" fontId="0" fillId="7" borderId="3" xfId="0" applyFont="1" applyFill="1" applyBorder="1"/>
    <xf numFmtId="0" fontId="0" fillId="7" borderId="10" xfId="0" applyFont="1" applyFill="1" applyBorder="1"/>
    <xf numFmtId="0" fontId="10" fillId="7" borderId="0" xfId="0" applyFont="1" applyFill="1" applyAlignment="1">
      <alignment horizontal="center"/>
    </xf>
    <xf numFmtId="0" fontId="10" fillId="7" borderId="0" xfId="0" applyFont="1" applyFill="1" applyAlignment="1">
      <alignment horizontal="left"/>
    </xf>
    <xf numFmtId="0" fontId="11" fillId="7" borderId="0" xfId="0" applyFont="1" applyFill="1" applyBorder="1" applyAlignment="1"/>
    <xf numFmtId="0" fontId="11" fillId="7" borderId="0" xfId="0" applyFont="1" applyFill="1" applyBorder="1"/>
    <xf numFmtId="0" fontId="12" fillId="7" borderId="0" xfId="0" applyFont="1" applyFill="1" applyBorder="1"/>
    <xf numFmtId="0" fontId="11" fillId="7" borderId="3" xfId="0" applyFont="1" applyFill="1" applyBorder="1" applyAlignment="1">
      <alignment wrapText="1"/>
    </xf>
    <xf numFmtId="0" fontId="11" fillId="7" borderId="3" xfId="0" applyFont="1" applyFill="1" applyBorder="1"/>
    <xf numFmtId="0" fontId="14" fillId="7" borderId="0" xfId="0" applyFont="1" applyFill="1" applyAlignment="1">
      <alignment vertical="center"/>
    </xf>
    <xf numFmtId="0" fontId="8" fillId="7" borderId="0" xfId="0" applyFont="1" applyFill="1" applyBorder="1"/>
    <xf numFmtId="0" fontId="0" fillId="0" borderId="0" xfId="1" applyNumberFormat="1" applyFont="1"/>
    <xf numFmtId="0" fontId="15" fillId="7" borderId="0" xfId="0" applyFont="1" applyFill="1" applyBorder="1"/>
    <xf numFmtId="0" fontId="0" fillId="0" borderId="0" xfId="0" applyFont="1" applyAlignment="1">
      <alignment horizontal="left"/>
    </xf>
    <xf numFmtId="0" fontId="0" fillId="0" borderId="0" xfId="0" applyNumberFormat="1" applyFont="1"/>
    <xf numFmtId="0" fontId="16" fillId="7" borderId="0" xfId="0" applyFont="1" applyFill="1"/>
    <xf numFmtId="0" fontId="8" fillId="7" borderId="9" xfId="0" applyFont="1" applyFill="1" applyBorder="1"/>
    <xf numFmtId="0" fontId="8" fillId="7" borderId="3" xfId="0" applyFont="1" applyFill="1" applyBorder="1"/>
    <xf numFmtId="0" fontId="8" fillId="7" borderId="10" xfId="0" applyFont="1" applyFill="1" applyBorder="1"/>
    <xf numFmtId="0" fontId="7" fillId="7" borderId="11" xfId="0" applyFont="1" applyFill="1" applyBorder="1"/>
    <xf numFmtId="0" fontId="8" fillId="7" borderId="12" xfId="0" applyFont="1" applyFill="1" applyBorder="1"/>
    <xf numFmtId="0" fontId="8" fillId="7" borderId="13" xfId="0" applyFont="1" applyFill="1" applyBorder="1"/>
    <xf numFmtId="0" fontId="7" fillId="7" borderId="7" xfId="0" applyFont="1" applyFill="1" applyBorder="1"/>
    <xf numFmtId="0" fontId="8" fillId="7" borderId="8" xfId="0" applyFont="1" applyFill="1" applyBorder="1"/>
    <xf numFmtId="0" fontId="7" fillId="7" borderId="4" xfId="0" applyFont="1" applyFill="1" applyBorder="1"/>
    <xf numFmtId="0" fontId="8" fillId="7" borderId="5" xfId="0" applyFont="1" applyFill="1" applyBorder="1"/>
    <xf numFmtId="0" fontId="8" fillId="7" borderId="6" xfId="0" applyFont="1" applyFill="1" applyBorder="1"/>
    <xf numFmtId="0" fontId="8" fillId="7" borderId="11" xfId="0" applyFont="1" applyFill="1" applyBorder="1"/>
    <xf numFmtId="0" fontId="17" fillId="7" borderId="0" xfId="0" applyFont="1" applyFill="1"/>
    <xf numFmtId="0" fontId="17" fillId="7" borderId="0" xfId="0" applyFont="1" applyFill="1" applyBorder="1" applyAlignment="1">
      <alignment horizontal="center"/>
    </xf>
    <xf numFmtId="0" fontId="18" fillId="7" borderId="0" xfId="0" applyFont="1" applyFill="1" applyBorder="1" applyAlignment="1">
      <alignment horizontal="center"/>
    </xf>
    <xf numFmtId="0" fontId="0" fillId="7" borderId="0" xfId="0" applyFill="1" applyAlignment="1">
      <alignment horizontal="center"/>
    </xf>
  </cellXfs>
  <cellStyles count="2">
    <cellStyle name="Normal" xfId="0" builtinId="0"/>
    <cellStyle name="Porcentaje" xfId="1" builtinId="5"/>
  </cellStyles>
  <dxfs count="33">
    <dxf>
      <font>
        <sz val="1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9" formatCode="d/m/yyyy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9" formatCode="d/m/yyyy"/>
    </dxf>
    <dxf>
      <numFmt numFmtId="165" formatCode="0.000000"/>
    </dxf>
    <dxf>
      <numFmt numFmtId="0" formatCode="General"/>
    </dxf>
    <dxf>
      <numFmt numFmtId="0" formatCode="General"/>
    </dxf>
    <dxf>
      <numFmt numFmtId="164" formatCode="[$-F400]h:mm:ss\ AM/PM"/>
    </dxf>
    <dxf>
      <numFmt numFmtId="168" formatCode="dddd"/>
    </dxf>
    <dxf>
      <numFmt numFmtId="167" formatCode="mmmm"/>
    </dxf>
    <dxf>
      <numFmt numFmtId="166" formatCode="yyyy"/>
    </dxf>
    <dxf>
      <numFmt numFmtId="19" formatCode="d/m/yyyy"/>
    </dxf>
  </dxfs>
  <tableStyles count="0" defaultTableStyle="TableStyleMedium2" defaultPivotStyle="PivotStyleLight16"/>
  <colors>
    <mruColors>
      <color rgb="FF323232"/>
      <color rgb="FFB2B2B2"/>
      <color rgb="FFAF2323"/>
      <color rgb="FFEAEAEA"/>
      <color rgb="FF505050"/>
      <color rgb="FF1C1C1E"/>
      <color rgb="FF228B22"/>
      <color rgb="FF3CB371"/>
      <color rgb="FF006400"/>
      <color rgb="FF1428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26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microsoft.com/office/2007/relationships/slicerCache" Target="slicerCaches/slicerCache4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5942028985507245"/>
          <c:w val="1"/>
          <c:h val="0.82608695652173914"/>
        </c:manualLayout>
      </c:layout>
      <c:areaChart>
        <c:grouping val="standard"/>
        <c:varyColors val="0"/>
        <c:ser>
          <c:idx val="0"/>
          <c:order val="0"/>
          <c:spPr>
            <a:solidFill>
              <a:srgbClr val="C00000">
                <a:alpha val="42000"/>
              </a:srgbClr>
            </a:solidFill>
            <a:ln>
              <a:noFill/>
            </a:ln>
            <a:effectLst/>
          </c:spPr>
          <c:val>
            <c:numRef>
              <c:f>ARRESTOS!$A$48:$A$57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7</c:v>
                </c:pt>
                <c:pt idx="3">
                  <c:v>9</c:v>
                </c:pt>
                <c:pt idx="4">
                  <c:v>19</c:v>
                </c:pt>
                <c:pt idx="5">
                  <c:v>14</c:v>
                </c:pt>
                <c:pt idx="6">
                  <c:v>14</c:v>
                </c:pt>
                <c:pt idx="7">
                  <c:v>10</c:v>
                </c:pt>
                <c:pt idx="8">
                  <c:v>12</c:v>
                </c:pt>
                <c:pt idx="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FE-4BB3-B349-C67A8CA6B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332927"/>
        <c:axId val="1656331679"/>
      </c:areaChart>
      <c:catAx>
        <c:axId val="1656332927"/>
        <c:scaling>
          <c:orientation val="minMax"/>
        </c:scaling>
        <c:delete val="1"/>
        <c:axPos val="b"/>
        <c:majorTickMark val="out"/>
        <c:minorTickMark val="none"/>
        <c:tickLblPos val="nextTo"/>
        <c:crossAx val="1656331679"/>
        <c:crosses val="autoZero"/>
        <c:auto val="1"/>
        <c:lblAlgn val="ctr"/>
        <c:lblOffset val="100"/>
        <c:noMultiLvlLbl val="0"/>
      </c:catAx>
      <c:valAx>
        <c:axId val="16563316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56332927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684838207127117E-4"/>
          <c:y val="1.3889112472029749E-2"/>
          <c:w val="0.99444444444444446"/>
          <c:h val="0.98148148148148151"/>
        </c:manualLayout>
      </c:layout>
      <c:areaChart>
        <c:grouping val="standard"/>
        <c:varyColors val="0"/>
        <c:ser>
          <c:idx val="0"/>
          <c:order val="0"/>
          <c:spPr>
            <a:solidFill>
              <a:srgbClr val="C00000">
                <a:alpha val="42000"/>
              </a:srgbClr>
            </a:solidFill>
            <a:ln>
              <a:noFill/>
            </a:ln>
            <a:effectLst/>
          </c:spPr>
          <c:val>
            <c:numRef>
              <c:f>ARRESTOS!$D$48:$D$57</c:f>
              <c:numCache>
                <c:formatCode>General</c:formatCode>
                <c:ptCount val="1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4</c:v>
                </c:pt>
                <c:pt idx="4">
                  <c:v>7</c:v>
                </c:pt>
                <c:pt idx="5">
                  <c:v>8</c:v>
                </c:pt>
                <c:pt idx="6">
                  <c:v>5</c:v>
                </c:pt>
                <c:pt idx="7">
                  <c:v>7</c:v>
                </c:pt>
                <c:pt idx="8">
                  <c:v>7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2C-4E10-B6CF-ECFBED884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3558655"/>
        <c:axId val="1603572799"/>
      </c:areaChart>
      <c:catAx>
        <c:axId val="1603558655"/>
        <c:scaling>
          <c:orientation val="minMax"/>
        </c:scaling>
        <c:delete val="1"/>
        <c:axPos val="b"/>
        <c:majorTickMark val="out"/>
        <c:minorTickMark val="none"/>
        <c:tickLblPos val="nextTo"/>
        <c:crossAx val="1603572799"/>
        <c:crosses val="autoZero"/>
        <c:auto val="1"/>
        <c:lblAlgn val="ctr"/>
        <c:lblOffset val="100"/>
        <c:noMultiLvlLbl val="0"/>
      </c:catAx>
      <c:valAx>
        <c:axId val="1603572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0355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delincuencia - Córdoba.xlsm]ARMAS!TablaDinámica18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>
              <a:alpha val="42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C00000">
              <a:alpha val="42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C00000">
              <a:alpha val="42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70422479132219E-3"/>
          <c:y val="0"/>
          <c:w val="0.9944445237428059"/>
          <c:h val="1"/>
        </c:manualLayout>
      </c:layout>
      <c:areaChart>
        <c:grouping val="stacked"/>
        <c:varyColors val="0"/>
        <c:ser>
          <c:idx val="0"/>
          <c:order val="0"/>
          <c:tx>
            <c:strRef>
              <c:f>ARMAS!$B$19:$B$20</c:f>
              <c:strCache>
                <c:ptCount val="1"/>
                <c:pt idx="0">
                  <c:v>Sí</c:v>
                </c:pt>
              </c:strCache>
            </c:strRef>
          </c:tx>
          <c:spPr>
            <a:solidFill>
              <a:srgbClr val="C00000">
                <a:alpha val="42000"/>
              </a:srgbClr>
            </a:solidFill>
            <a:ln>
              <a:noFill/>
            </a:ln>
            <a:effectLst/>
          </c:spPr>
          <c:cat>
            <c:strRef>
              <c:f>ARMAS!$A$21:$A$26</c:f>
              <c:strCache>
                <c:ptCount val="5"/>
                <c:pt idx="0">
                  <c:v>Arma blanca</c:v>
                </c:pt>
                <c:pt idx="1">
                  <c:v>Arma de fuego</c:v>
                </c:pt>
                <c:pt idx="2">
                  <c:v>No info</c:v>
                </c:pt>
                <c:pt idx="3">
                  <c:v>Objeto contundente</c:v>
                </c:pt>
                <c:pt idx="4">
                  <c:v>Sin arma</c:v>
                </c:pt>
              </c:strCache>
            </c:strRef>
          </c:cat>
          <c:val>
            <c:numRef>
              <c:f>ARMAS!$B$21:$B$26</c:f>
              <c:numCache>
                <c:formatCode>General</c:formatCode>
                <c:ptCount val="5"/>
                <c:pt idx="0">
                  <c:v>22</c:v>
                </c:pt>
                <c:pt idx="1">
                  <c:v>30</c:v>
                </c:pt>
                <c:pt idx="2">
                  <c:v>396</c:v>
                </c:pt>
                <c:pt idx="3">
                  <c:v>28</c:v>
                </c:pt>
                <c:pt idx="4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DE-4700-B237-9DDF64E1F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35983"/>
        <c:axId val="1412435567"/>
      </c:areaChart>
      <c:catAx>
        <c:axId val="14124359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12435567"/>
        <c:crosses val="autoZero"/>
        <c:auto val="1"/>
        <c:lblAlgn val="ctr"/>
        <c:lblOffset val="100"/>
        <c:noMultiLvlLbl val="0"/>
      </c:catAx>
      <c:valAx>
        <c:axId val="141243556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2435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[Datos delincuencia - Córdoba.xlsm]Delitos por día de la semana!TablaDinámica1</c:name>
    <c:fmtId val="1"/>
  </c:pivotSource>
  <c:chart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7777777777777779E-3"/>
          <c:y val="0.2361111111111111"/>
          <c:w val="0.99722222222222223"/>
          <c:h val="0.7592592592592593"/>
        </c:manualLayout>
      </c:layout>
      <c:areaChart>
        <c:grouping val="standard"/>
        <c:varyColors val="0"/>
        <c:ser>
          <c:idx val="0"/>
          <c:order val="0"/>
          <c:tx>
            <c:strRef>
              <c:f>'Delitos por día de la semana'!$B$1:$B$2</c:f>
              <c:strCache>
                <c:ptCount val="1"/>
                <c:pt idx="0">
                  <c:v>Amenazas</c:v>
                </c:pt>
              </c:strCache>
            </c:strRef>
          </c:tx>
          <c:spPr>
            <a:solidFill>
              <a:schemeClr val="accent2">
                <a:shade val="4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semana'!$B$3:$B$11</c:f>
              <c:numCache>
                <c:formatCode>General</c:formatCode>
                <c:ptCount val="8"/>
                <c:pt idx="0">
                  <c:v>6</c:v>
                </c:pt>
                <c:pt idx="1">
                  <c:v>11</c:v>
                </c:pt>
                <c:pt idx="2">
                  <c:v>6</c:v>
                </c:pt>
                <c:pt idx="3">
                  <c:v>8</c:v>
                </c:pt>
                <c:pt idx="4">
                  <c:v>17</c:v>
                </c:pt>
                <c:pt idx="5">
                  <c:v>9</c:v>
                </c:pt>
                <c:pt idx="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14-474B-A4E0-5CCED616EACB}"/>
            </c:ext>
          </c:extLst>
        </c:ser>
        <c:ser>
          <c:idx val="1"/>
          <c:order val="1"/>
          <c:tx>
            <c:strRef>
              <c:f>'Delitos por día de la semana'!$C$1:$C$2</c:f>
              <c:strCache>
                <c:ptCount val="1"/>
                <c:pt idx="0">
                  <c:v>Corrupción</c:v>
                </c:pt>
              </c:strCache>
            </c:strRef>
          </c:tx>
          <c:spPr>
            <a:solidFill>
              <a:schemeClr val="accent2">
                <a:shade val="5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semana'!$C$3:$C$11</c:f>
              <c:numCache>
                <c:formatCode>General</c:formatCode>
                <c:ptCount val="8"/>
                <c:pt idx="0">
                  <c:v>9</c:v>
                </c:pt>
                <c:pt idx="1">
                  <c:v>12</c:v>
                </c:pt>
                <c:pt idx="2">
                  <c:v>10</c:v>
                </c:pt>
                <c:pt idx="3">
                  <c:v>13</c:v>
                </c:pt>
                <c:pt idx="4">
                  <c:v>12</c:v>
                </c:pt>
                <c:pt idx="5">
                  <c:v>12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14-474B-A4E0-5CCED616EACB}"/>
            </c:ext>
          </c:extLst>
        </c:ser>
        <c:ser>
          <c:idx val="2"/>
          <c:order val="2"/>
          <c:tx>
            <c:strRef>
              <c:f>'Delitos por día de la semana'!$D$1:$D$2</c:f>
              <c:strCache>
                <c:ptCount val="1"/>
                <c:pt idx="0">
                  <c:v>Delitos financieros</c:v>
                </c:pt>
              </c:strCache>
            </c:strRef>
          </c:tx>
          <c:spPr>
            <a:solidFill>
              <a:schemeClr val="accent2">
                <a:shade val="6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semana'!$D$3:$D$11</c:f>
              <c:numCache>
                <c:formatCode>General</c:formatCode>
                <c:ptCount val="8"/>
                <c:pt idx="0">
                  <c:v>9</c:v>
                </c:pt>
                <c:pt idx="1">
                  <c:v>6</c:v>
                </c:pt>
                <c:pt idx="2">
                  <c:v>11</c:v>
                </c:pt>
                <c:pt idx="3">
                  <c:v>13</c:v>
                </c:pt>
                <c:pt idx="4">
                  <c:v>16</c:v>
                </c:pt>
                <c:pt idx="5">
                  <c:v>11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14-474B-A4E0-5CCED616EACB}"/>
            </c:ext>
          </c:extLst>
        </c:ser>
        <c:ser>
          <c:idx val="3"/>
          <c:order val="3"/>
          <c:tx>
            <c:strRef>
              <c:f>'Delitos por día de la semana'!$E$1:$E$2</c:f>
              <c:strCache>
                <c:ptCount val="1"/>
                <c:pt idx="0">
                  <c:v>Fraude</c:v>
                </c:pt>
              </c:strCache>
            </c:strRef>
          </c:tx>
          <c:spPr>
            <a:solidFill>
              <a:schemeClr val="accent2">
                <a:shade val="7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semana'!$E$3:$E$11</c:f>
              <c:numCache>
                <c:formatCode>General</c:formatCode>
                <c:ptCount val="8"/>
                <c:pt idx="0">
                  <c:v>11</c:v>
                </c:pt>
                <c:pt idx="1">
                  <c:v>10</c:v>
                </c:pt>
                <c:pt idx="2">
                  <c:v>10</c:v>
                </c:pt>
                <c:pt idx="3">
                  <c:v>9</c:v>
                </c:pt>
                <c:pt idx="4">
                  <c:v>12</c:v>
                </c:pt>
                <c:pt idx="5">
                  <c:v>11</c:v>
                </c:pt>
                <c:pt idx="6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14-474B-A4E0-5CCED616EACB}"/>
            </c:ext>
          </c:extLst>
        </c:ser>
        <c:ser>
          <c:idx val="4"/>
          <c:order val="4"/>
          <c:tx>
            <c:strRef>
              <c:f>'Delitos por día de la semana'!$F$1:$F$2</c:f>
              <c:strCache>
                <c:ptCount val="1"/>
                <c:pt idx="0">
                  <c:v>Homicidio</c:v>
                </c:pt>
              </c:strCache>
            </c:strRef>
          </c:tx>
          <c:spPr>
            <a:solidFill>
              <a:schemeClr val="accent2">
                <a:shade val="8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semana'!$F$3:$F$11</c:f>
              <c:numCache>
                <c:formatCode>General</c:formatCode>
                <c:ptCount val="8"/>
                <c:pt idx="0">
                  <c:v>5</c:v>
                </c:pt>
                <c:pt idx="1">
                  <c:v>14</c:v>
                </c:pt>
                <c:pt idx="2">
                  <c:v>12</c:v>
                </c:pt>
                <c:pt idx="3">
                  <c:v>13</c:v>
                </c:pt>
                <c:pt idx="4">
                  <c:v>11</c:v>
                </c:pt>
                <c:pt idx="5">
                  <c:v>10</c:v>
                </c:pt>
                <c:pt idx="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14-474B-A4E0-5CCED616EACB}"/>
            </c:ext>
          </c:extLst>
        </c:ser>
        <c:ser>
          <c:idx val="5"/>
          <c:order val="5"/>
          <c:tx>
            <c:strRef>
              <c:f>'Delitos por día de la semana'!$G$1:$G$2</c:f>
              <c:strCache>
                <c:ptCount val="1"/>
                <c:pt idx="0">
                  <c:v>Hurto</c:v>
                </c:pt>
              </c:strCache>
            </c:strRef>
          </c:tx>
          <c:spPr>
            <a:solidFill>
              <a:schemeClr val="accent2">
                <a:shade val="9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semana'!$G$3:$G$11</c:f>
              <c:numCache>
                <c:formatCode>General</c:formatCode>
                <c:ptCount val="8"/>
                <c:pt idx="0">
                  <c:v>16</c:v>
                </c:pt>
                <c:pt idx="1">
                  <c:v>13</c:v>
                </c:pt>
                <c:pt idx="2">
                  <c:v>15</c:v>
                </c:pt>
                <c:pt idx="3">
                  <c:v>13</c:v>
                </c:pt>
                <c:pt idx="4">
                  <c:v>8</c:v>
                </c:pt>
                <c:pt idx="5">
                  <c:v>14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14-474B-A4E0-5CCED616EACB}"/>
            </c:ext>
          </c:extLst>
        </c:ser>
        <c:ser>
          <c:idx val="8"/>
          <c:order val="6"/>
          <c:tx>
            <c:strRef>
              <c:f>'Delitos por día de la semana'!$H$1:$H$2</c:f>
              <c:strCache>
                <c:ptCount val="1"/>
                <c:pt idx="0">
                  <c:v>Narcotráfico</c:v>
                </c:pt>
              </c:strCache>
            </c:strRef>
          </c:tx>
          <c:spPr>
            <a:solidFill>
              <a:schemeClr val="accent2">
                <a:tint val="8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semana'!$H$3:$H$11</c:f>
              <c:numCache>
                <c:formatCode>General</c:formatCode>
                <c:ptCount val="8"/>
                <c:pt idx="0">
                  <c:v>13</c:v>
                </c:pt>
                <c:pt idx="1">
                  <c:v>15</c:v>
                </c:pt>
                <c:pt idx="2">
                  <c:v>13</c:v>
                </c:pt>
                <c:pt idx="3">
                  <c:v>20</c:v>
                </c:pt>
                <c:pt idx="4">
                  <c:v>17</c:v>
                </c:pt>
                <c:pt idx="5">
                  <c:v>16</c:v>
                </c:pt>
                <c:pt idx="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E14-474B-A4E0-5CCED616EACB}"/>
            </c:ext>
          </c:extLst>
        </c:ser>
        <c:ser>
          <c:idx val="9"/>
          <c:order val="7"/>
          <c:tx>
            <c:strRef>
              <c:f>'Delitos por día de la semana'!$I$1:$I$2</c:f>
              <c:strCache>
                <c:ptCount val="1"/>
                <c:pt idx="0">
                  <c:v>Robo</c:v>
                </c:pt>
              </c:strCache>
            </c:strRef>
          </c:tx>
          <c:spPr>
            <a:solidFill>
              <a:schemeClr val="accent2">
                <a:tint val="7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semana'!$I$3:$I$11</c:f>
              <c:numCache>
                <c:formatCode>General</c:formatCode>
                <c:ptCount val="8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12</c:v>
                </c:pt>
                <c:pt idx="4">
                  <c:v>17</c:v>
                </c:pt>
                <c:pt idx="5">
                  <c:v>14</c:v>
                </c:pt>
                <c:pt idx="6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E14-474B-A4E0-5CCED616EACB}"/>
            </c:ext>
          </c:extLst>
        </c:ser>
        <c:ser>
          <c:idx val="10"/>
          <c:order val="8"/>
          <c:tx>
            <c:strRef>
              <c:f>'Delitos por día de la semana'!$J$1:$J$2</c:f>
              <c:strCache>
                <c:ptCount val="1"/>
                <c:pt idx="0">
                  <c:v>Secuestro</c:v>
                </c:pt>
              </c:strCache>
            </c:strRef>
          </c:tx>
          <c:spPr>
            <a:solidFill>
              <a:schemeClr val="accent2">
                <a:tint val="6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semana'!$J$3:$J$11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15</c:v>
                </c:pt>
                <c:pt idx="3">
                  <c:v>9</c:v>
                </c:pt>
                <c:pt idx="4">
                  <c:v>16</c:v>
                </c:pt>
                <c:pt idx="5">
                  <c:v>15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14-474B-A4E0-5CCED616EACB}"/>
            </c:ext>
          </c:extLst>
        </c:ser>
        <c:ser>
          <c:idx val="11"/>
          <c:order val="9"/>
          <c:tx>
            <c:strRef>
              <c:f>'Delitos por día de la semana'!$K$1:$K$2</c:f>
              <c:strCache>
                <c:ptCount val="1"/>
                <c:pt idx="0">
                  <c:v>Vandalismo</c:v>
                </c:pt>
              </c:strCache>
            </c:strRef>
          </c:tx>
          <c:spPr>
            <a:solidFill>
              <a:schemeClr val="accent2">
                <a:tint val="5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semana'!$K$3:$K$11</c:f>
              <c:numCache>
                <c:formatCode>General</c:formatCode>
                <c:ptCount val="8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8</c:v>
                </c:pt>
                <c:pt idx="4">
                  <c:v>17</c:v>
                </c:pt>
                <c:pt idx="5">
                  <c:v>8</c:v>
                </c:pt>
                <c:pt idx="6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E14-474B-A4E0-5CCED616EACB}"/>
            </c:ext>
          </c:extLst>
        </c:ser>
        <c:ser>
          <c:idx val="6"/>
          <c:order val="10"/>
          <c:tx>
            <c:strRef>
              <c:f>'Delitos por día de la semana'!$L$1:$L$2</c:f>
              <c:strCache>
                <c:ptCount val="1"/>
                <c:pt idx="0">
                  <c:v>Violación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semana'!$L$3:$L$11</c:f>
              <c:numCache>
                <c:formatCode>General</c:formatCode>
                <c:ptCount val="8"/>
                <c:pt idx="0">
                  <c:v>15</c:v>
                </c:pt>
                <c:pt idx="1">
                  <c:v>12</c:v>
                </c:pt>
                <c:pt idx="2">
                  <c:v>13</c:v>
                </c:pt>
                <c:pt idx="3">
                  <c:v>11</c:v>
                </c:pt>
                <c:pt idx="4">
                  <c:v>11</c:v>
                </c:pt>
                <c:pt idx="5">
                  <c:v>15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EE14-474B-A4E0-5CCED616EACB}"/>
            </c:ext>
          </c:extLst>
        </c:ser>
        <c:ser>
          <c:idx val="7"/>
          <c:order val="11"/>
          <c:tx>
            <c:strRef>
              <c:f>'Delitos por día de la semana'!$M$1:$M$2</c:f>
              <c:strCache>
                <c:ptCount val="1"/>
                <c:pt idx="0">
                  <c:v>Violencia de género</c:v>
                </c:pt>
              </c:strCache>
            </c:strRef>
          </c:tx>
          <c:spPr>
            <a:solidFill>
              <a:schemeClr val="accent2">
                <a:tint val="90000"/>
              </a:schemeClr>
            </a:solidFill>
            <a:ln w="25400"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semana'!$M$3:$M$11</c:f>
              <c:numCache>
                <c:formatCode>General</c:formatCode>
                <c:ptCount val="8"/>
                <c:pt idx="0">
                  <c:v>4</c:v>
                </c:pt>
                <c:pt idx="1">
                  <c:v>11</c:v>
                </c:pt>
                <c:pt idx="2">
                  <c:v>21</c:v>
                </c:pt>
                <c:pt idx="3">
                  <c:v>10</c:v>
                </c:pt>
                <c:pt idx="4">
                  <c:v>8</c:v>
                </c:pt>
                <c:pt idx="5">
                  <c:v>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EE14-474B-A4E0-5CCED616EACB}"/>
            </c:ext>
          </c:extLst>
        </c:ser>
        <c:ser>
          <c:idx val="12"/>
          <c:order val="12"/>
          <c:tx>
            <c:strRef>
              <c:f>'Delitos por día de la semana'!$N$1:$N$2</c:f>
              <c:strCache>
                <c:ptCount val="1"/>
                <c:pt idx="0">
                  <c:v>(en blanco)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 w="25400"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semana'!$N$3:$N$11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29-EE14-474B-A4E0-5CCED616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85551"/>
        <c:axId val="231078063"/>
      </c:areaChart>
      <c:catAx>
        <c:axId val="231085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1078063"/>
        <c:crosses val="autoZero"/>
        <c:auto val="1"/>
        <c:lblAlgn val="ctr"/>
        <c:lblOffset val="100"/>
        <c:noMultiLvlLbl val="0"/>
      </c:catAx>
      <c:valAx>
        <c:axId val="23107806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1085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delincuencia - Córdoba.xlsm]Tipos de delitos x año!TablaDinámica5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021552263862167E-2"/>
          <c:y val="4.696618007011244E-2"/>
          <c:w val="0.82834007479179461"/>
          <c:h val="0.64371092227332971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'Tipos de delitos x año'!$B$3:$B$4</c:f>
              <c:strCache>
                <c:ptCount val="1"/>
                <c:pt idx="0">
                  <c:v>ene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'Tipos de delitos x año'!$A$5:$A$17</c:f>
              <c:strCache>
                <c:ptCount val="12"/>
                <c:pt idx="0">
                  <c:v>Amenazas</c:v>
                </c:pt>
                <c:pt idx="1">
                  <c:v>Corrupción</c:v>
                </c:pt>
                <c:pt idx="2">
                  <c:v>Delitos financieros</c:v>
                </c:pt>
                <c:pt idx="3">
                  <c:v>Fraude</c:v>
                </c:pt>
                <c:pt idx="4">
                  <c:v>Homicidio</c:v>
                </c:pt>
                <c:pt idx="5">
                  <c:v>Hurto</c:v>
                </c:pt>
                <c:pt idx="6">
                  <c:v>Narcotráfico</c:v>
                </c:pt>
                <c:pt idx="7">
                  <c:v>Robo</c:v>
                </c:pt>
                <c:pt idx="8">
                  <c:v>Secuestro</c:v>
                </c:pt>
                <c:pt idx="9">
                  <c:v>Vandalismo</c:v>
                </c:pt>
                <c:pt idx="10">
                  <c:v>Violación</c:v>
                </c:pt>
                <c:pt idx="11">
                  <c:v>Violencia de género</c:v>
                </c:pt>
              </c:strCache>
            </c:strRef>
          </c:cat>
          <c:val>
            <c:numRef>
              <c:f>'Tipos de delitos x año'!$B$5:$B$17</c:f>
              <c:numCache>
                <c:formatCode>General</c:formatCode>
                <c:ptCount val="12"/>
                <c:pt idx="0">
                  <c:v>5</c:v>
                </c:pt>
                <c:pt idx="1">
                  <c:v>6</c:v>
                </c:pt>
                <c:pt idx="2">
                  <c:v>6</c:v>
                </c:pt>
                <c:pt idx="3">
                  <c:v>5</c:v>
                </c:pt>
                <c:pt idx="4">
                  <c:v>8</c:v>
                </c:pt>
                <c:pt idx="5">
                  <c:v>9</c:v>
                </c:pt>
                <c:pt idx="6">
                  <c:v>12</c:v>
                </c:pt>
                <c:pt idx="7">
                  <c:v>11</c:v>
                </c:pt>
                <c:pt idx="8">
                  <c:v>9</c:v>
                </c:pt>
                <c:pt idx="9">
                  <c:v>8</c:v>
                </c:pt>
                <c:pt idx="10">
                  <c:v>8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7-4532-BBDD-F1EE19E88D37}"/>
            </c:ext>
          </c:extLst>
        </c:ser>
        <c:ser>
          <c:idx val="1"/>
          <c:order val="1"/>
          <c:tx>
            <c:strRef>
              <c:f>'Tipos de delitos x año'!$C$3:$C$4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'Tipos de delitos x año'!$A$5:$A$17</c:f>
              <c:strCache>
                <c:ptCount val="12"/>
                <c:pt idx="0">
                  <c:v>Amenazas</c:v>
                </c:pt>
                <c:pt idx="1">
                  <c:v>Corrupción</c:v>
                </c:pt>
                <c:pt idx="2">
                  <c:v>Delitos financieros</c:v>
                </c:pt>
                <c:pt idx="3">
                  <c:v>Fraude</c:v>
                </c:pt>
                <c:pt idx="4">
                  <c:v>Homicidio</c:v>
                </c:pt>
                <c:pt idx="5">
                  <c:v>Hurto</c:v>
                </c:pt>
                <c:pt idx="6">
                  <c:v>Narcotráfico</c:v>
                </c:pt>
                <c:pt idx="7">
                  <c:v>Robo</c:v>
                </c:pt>
                <c:pt idx="8">
                  <c:v>Secuestro</c:v>
                </c:pt>
                <c:pt idx="9">
                  <c:v>Vandalismo</c:v>
                </c:pt>
                <c:pt idx="10">
                  <c:v>Violación</c:v>
                </c:pt>
                <c:pt idx="11">
                  <c:v>Violencia de género</c:v>
                </c:pt>
              </c:strCache>
            </c:strRef>
          </c:cat>
          <c:val>
            <c:numRef>
              <c:f>'Tipos de delitos x año'!$C$5:$C$17</c:f>
              <c:numCache>
                <c:formatCode>General</c:formatCode>
                <c:ptCount val="12"/>
                <c:pt idx="0">
                  <c:v>3</c:v>
                </c:pt>
                <c:pt idx="1">
                  <c:v>9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6</c:v>
                </c:pt>
                <c:pt idx="10">
                  <c:v>4</c:v>
                </c:pt>
                <c:pt idx="1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8F-4DCE-AD9B-027AE3DA6AF1}"/>
            </c:ext>
          </c:extLst>
        </c:ser>
        <c:ser>
          <c:idx val="2"/>
          <c:order val="2"/>
          <c:tx>
            <c:strRef>
              <c:f>'Tipos de delitos x año'!$D$3:$D$4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'Tipos de delitos x año'!$A$5:$A$17</c:f>
              <c:strCache>
                <c:ptCount val="12"/>
                <c:pt idx="0">
                  <c:v>Amenazas</c:v>
                </c:pt>
                <c:pt idx="1">
                  <c:v>Corrupción</c:v>
                </c:pt>
                <c:pt idx="2">
                  <c:v>Delitos financieros</c:v>
                </c:pt>
                <c:pt idx="3">
                  <c:v>Fraude</c:v>
                </c:pt>
                <c:pt idx="4">
                  <c:v>Homicidio</c:v>
                </c:pt>
                <c:pt idx="5">
                  <c:v>Hurto</c:v>
                </c:pt>
                <c:pt idx="6">
                  <c:v>Narcotráfico</c:v>
                </c:pt>
                <c:pt idx="7">
                  <c:v>Robo</c:v>
                </c:pt>
                <c:pt idx="8">
                  <c:v>Secuestro</c:v>
                </c:pt>
                <c:pt idx="9">
                  <c:v>Vandalismo</c:v>
                </c:pt>
                <c:pt idx="10">
                  <c:v>Violación</c:v>
                </c:pt>
                <c:pt idx="11">
                  <c:v>Violencia de género</c:v>
                </c:pt>
              </c:strCache>
            </c:strRef>
          </c:cat>
          <c:val>
            <c:numRef>
              <c:f>'Tipos de delitos x año'!$D$5:$D$17</c:f>
              <c:numCache>
                <c:formatCode>General</c:formatCode>
                <c:ptCount val="12"/>
                <c:pt idx="0">
                  <c:v>8</c:v>
                </c:pt>
                <c:pt idx="1">
                  <c:v>3</c:v>
                </c:pt>
                <c:pt idx="2">
                  <c:v>5</c:v>
                </c:pt>
                <c:pt idx="3">
                  <c:v>9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7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8F-4DCE-AD9B-027AE3DA6AF1}"/>
            </c:ext>
          </c:extLst>
        </c:ser>
        <c:ser>
          <c:idx val="3"/>
          <c:order val="3"/>
          <c:tx>
            <c:strRef>
              <c:f>'Tipos de delitos x año'!$E$3:$E$4</c:f>
              <c:strCache>
                <c:ptCount val="1"/>
                <c:pt idx="0">
                  <c:v>abr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'Tipos de delitos x año'!$A$5:$A$17</c:f>
              <c:strCache>
                <c:ptCount val="12"/>
                <c:pt idx="0">
                  <c:v>Amenazas</c:v>
                </c:pt>
                <c:pt idx="1">
                  <c:v>Corrupción</c:v>
                </c:pt>
                <c:pt idx="2">
                  <c:v>Delitos financieros</c:v>
                </c:pt>
                <c:pt idx="3">
                  <c:v>Fraude</c:v>
                </c:pt>
                <c:pt idx="4">
                  <c:v>Homicidio</c:v>
                </c:pt>
                <c:pt idx="5">
                  <c:v>Hurto</c:v>
                </c:pt>
                <c:pt idx="6">
                  <c:v>Narcotráfico</c:v>
                </c:pt>
                <c:pt idx="7">
                  <c:v>Robo</c:v>
                </c:pt>
                <c:pt idx="8">
                  <c:v>Secuestro</c:v>
                </c:pt>
                <c:pt idx="9">
                  <c:v>Vandalismo</c:v>
                </c:pt>
                <c:pt idx="10">
                  <c:v>Violación</c:v>
                </c:pt>
                <c:pt idx="11">
                  <c:v>Violencia de género</c:v>
                </c:pt>
              </c:strCache>
            </c:strRef>
          </c:cat>
          <c:val>
            <c:numRef>
              <c:f>'Tipos de delitos x año'!$E$5:$E$17</c:f>
              <c:numCache>
                <c:formatCode>General</c:formatCode>
                <c:ptCount val="12"/>
                <c:pt idx="0">
                  <c:v>6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9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5</c:v>
                </c:pt>
                <c:pt idx="10">
                  <c:v>10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8F-4DCE-AD9B-027AE3DA6AF1}"/>
            </c:ext>
          </c:extLst>
        </c:ser>
        <c:ser>
          <c:idx val="4"/>
          <c:order val="4"/>
          <c:tx>
            <c:strRef>
              <c:f>'Tipos de delitos x año'!$F$3:$F$4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'Tipos de delitos x año'!$A$5:$A$17</c:f>
              <c:strCache>
                <c:ptCount val="12"/>
                <c:pt idx="0">
                  <c:v>Amenazas</c:v>
                </c:pt>
                <c:pt idx="1">
                  <c:v>Corrupción</c:v>
                </c:pt>
                <c:pt idx="2">
                  <c:v>Delitos financieros</c:v>
                </c:pt>
                <c:pt idx="3">
                  <c:v>Fraude</c:v>
                </c:pt>
                <c:pt idx="4">
                  <c:v>Homicidio</c:v>
                </c:pt>
                <c:pt idx="5">
                  <c:v>Hurto</c:v>
                </c:pt>
                <c:pt idx="6">
                  <c:v>Narcotráfico</c:v>
                </c:pt>
                <c:pt idx="7">
                  <c:v>Robo</c:v>
                </c:pt>
                <c:pt idx="8">
                  <c:v>Secuestro</c:v>
                </c:pt>
                <c:pt idx="9">
                  <c:v>Vandalismo</c:v>
                </c:pt>
                <c:pt idx="10">
                  <c:v>Violación</c:v>
                </c:pt>
                <c:pt idx="11">
                  <c:v>Violencia de género</c:v>
                </c:pt>
              </c:strCache>
            </c:strRef>
          </c:cat>
          <c:val>
            <c:numRef>
              <c:f>'Tipos de delitos x año'!$F$5:$F$17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8</c:v>
                </c:pt>
                <c:pt idx="3">
                  <c:v>3</c:v>
                </c:pt>
                <c:pt idx="4">
                  <c:v>14</c:v>
                </c:pt>
                <c:pt idx="5">
                  <c:v>5</c:v>
                </c:pt>
                <c:pt idx="6">
                  <c:v>5</c:v>
                </c:pt>
                <c:pt idx="7">
                  <c:v>15</c:v>
                </c:pt>
                <c:pt idx="8">
                  <c:v>9</c:v>
                </c:pt>
                <c:pt idx="9">
                  <c:v>14</c:v>
                </c:pt>
                <c:pt idx="10">
                  <c:v>6</c:v>
                </c:pt>
                <c:pt idx="1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B-A88B-4021-BD9F-DAFE1E003266}"/>
            </c:ext>
          </c:extLst>
        </c:ser>
        <c:ser>
          <c:idx val="5"/>
          <c:order val="5"/>
          <c:tx>
            <c:strRef>
              <c:f>'Tipos de delitos x año'!$G$3:$G$4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'Tipos de delitos x año'!$A$5:$A$17</c:f>
              <c:strCache>
                <c:ptCount val="12"/>
                <c:pt idx="0">
                  <c:v>Amenazas</c:v>
                </c:pt>
                <c:pt idx="1">
                  <c:v>Corrupción</c:v>
                </c:pt>
                <c:pt idx="2">
                  <c:v>Delitos financieros</c:v>
                </c:pt>
                <c:pt idx="3">
                  <c:v>Fraude</c:v>
                </c:pt>
                <c:pt idx="4">
                  <c:v>Homicidio</c:v>
                </c:pt>
                <c:pt idx="5">
                  <c:v>Hurto</c:v>
                </c:pt>
                <c:pt idx="6">
                  <c:v>Narcotráfico</c:v>
                </c:pt>
                <c:pt idx="7">
                  <c:v>Robo</c:v>
                </c:pt>
                <c:pt idx="8">
                  <c:v>Secuestro</c:v>
                </c:pt>
                <c:pt idx="9">
                  <c:v>Vandalismo</c:v>
                </c:pt>
                <c:pt idx="10">
                  <c:v>Violación</c:v>
                </c:pt>
                <c:pt idx="11">
                  <c:v>Violencia de género</c:v>
                </c:pt>
              </c:strCache>
            </c:strRef>
          </c:cat>
          <c:val>
            <c:numRef>
              <c:f>'Tipos de delitos x año'!$G$5:$G$17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10</c:v>
                </c:pt>
                <c:pt idx="6">
                  <c:v>8</c:v>
                </c:pt>
                <c:pt idx="7">
                  <c:v>7</c:v>
                </c:pt>
                <c:pt idx="8">
                  <c:v>10</c:v>
                </c:pt>
                <c:pt idx="9">
                  <c:v>5</c:v>
                </c:pt>
                <c:pt idx="10">
                  <c:v>11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C-A88B-4021-BD9F-DAFE1E003266}"/>
            </c:ext>
          </c:extLst>
        </c:ser>
        <c:ser>
          <c:idx val="6"/>
          <c:order val="6"/>
          <c:tx>
            <c:strRef>
              <c:f>'Tipos de delitos x año'!$H$3:$H$4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'Tipos de delitos x año'!$A$5:$A$17</c:f>
              <c:strCache>
                <c:ptCount val="12"/>
                <c:pt idx="0">
                  <c:v>Amenazas</c:v>
                </c:pt>
                <c:pt idx="1">
                  <c:v>Corrupción</c:v>
                </c:pt>
                <c:pt idx="2">
                  <c:v>Delitos financieros</c:v>
                </c:pt>
                <c:pt idx="3">
                  <c:v>Fraude</c:v>
                </c:pt>
                <c:pt idx="4">
                  <c:v>Homicidio</c:v>
                </c:pt>
                <c:pt idx="5">
                  <c:v>Hurto</c:v>
                </c:pt>
                <c:pt idx="6">
                  <c:v>Narcotráfico</c:v>
                </c:pt>
                <c:pt idx="7">
                  <c:v>Robo</c:v>
                </c:pt>
                <c:pt idx="8">
                  <c:v>Secuestro</c:v>
                </c:pt>
                <c:pt idx="9">
                  <c:v>Vandalismo</c:v>
                </c:pt>
                <c:pt idx="10">
                  <c:v>Violación</c:v>
                </c:pt>
                <c:pt idx="11">
                  <c:v>Violencia de género</c:v>
                </c:pt>
              </c:strCache>
            </c:strRef>
          </c:cat>
          <c:val>
            <c:numRef>
              <c:f>'Tipos de delitos x año'!$H$5:$H$17</c:f>
              <c:numCache>
                <c:formatCode>General</c:formatCode>
                <c:ptCount val="12"/>
                <c:pt idx="0">
                  <c:v>7</c:v>
                </c:pt>
                <c:pt idx="1">
                  <c:v>2</c:v>
                </c:pt>
                <c:pt idx="2">
                  <c:v>9</c:v>
                </c:pt>
                <c:pt idx="3">
                  <c:v>7</c:v>
                </c:pt>
                <c:pt idx="4">
                  <c:v>5</c:v>
                </c:pt>
                <c:pt idx="5">
                  <c:v>5</c:v>
                </c:pt>
                <c:pt idx="6">
                  <c:v>11</c:v>
                </c:pt>
                <c:pt idx="7">
                  <c:v>5</c:v>
                </c:pt>
                <c:pt idx="8">
                  <c:v>9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8D-4466-92FA-60139719884C}"/>
            </c:ext>
          </c:extLst>
        </c:ser>
        <c:ser>
          <c:idx val="7"/>
          <c:order val="7"/>
          <c:tx>
            <c:strRef>
              <c:f>'Tipos de delitos x año'!$I$3:$I$4</c:f>
              <c:strCache>
                <c:ptCount val="1"/>
                <c:pt idx="0">
                  <c:v>ago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'Tipos de delitos x año'!$A$5:$A$17</c:f>
              <c:strCache>
                <c:ptCount val="12"/>
                <c:pt idx="0">
                  <c:v>Amenazas</c:v>
                </c:pt>
                <c:pt idx="1">
                  <c:v>Corrupción</c:v>
                </c:pt>
                <c:pt idx="2">
                  <c:v>Delitos financieros</c:v>
                </c:pt>
                <c:pt idx="3">
                  <c:v>Fraude</c:v>
                </c:pt>
                <c:pt idx="4">
                  <c:v>Homicidio</c:v>
                </c:pt>
                <c:pt idx="5">
                  <c:v>Hurto</c:v>
                </c:pt>
                <c:pt idx="6">
                  <c:v>Narcotráfico</c:v>
                </c:pt>
                <c:pt idx="7">
                  <c:v>Robo</c:v>
                </c:pt>
                <c:pt idx="8">
                  <c:v>Secuestro</c:v>
                </c:pt>
                <c:pt idx="9">
                  <c:v>Vandalismo</c:v>
                </c:pt>
                <c:pt idx="10">
                  <c:v>Violación</c:v>
                </c:pt>
                <c:pt idx="11">
                  <c:v>Violencia de género</c:v>
                </c:pt>
              </c:strCache>
            </c:strRef>
          </c:cat>
          <c:val>
            <c:numRef>
              <c:f>'Tipos de delitos x año'!$I$5:$I$17</c:f>
              <c:numCache>
                <c:formatCode>General</c:formatCode>
                <c:ptCount val="12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11</c:v>
                </c:pt>
                <c:pt idx="6">
                  <c:v>10</c:v>
                </c:pt>
                <c:pt idx="7">
                  <c:v>10</c:v>
                </c:pt>
                <c:pt idx="8">
                  <c:v>6</c:v>
                </c:pt>
                <c:pt idx="9">
                  <c:v>10</c:v>
                </c:pt>
                <c:pt idx="10">
                  <c:v>8</c:v>
                </c:pt>
                <c:pt idx="1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8D-4466-92FA-60139719884C}"/>
            </c:ext>
          </c:extLst>
        </c:ser>
        <c:ser>
          <c:idx val="8"/>
          <c:order val="8"/>
          <c:tx>
            <c:strRef>
              <c:f>'Tipos de delitos x año'!$J$3:$J$4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'Tipos de delitos x año'!$A$5:$A$17</c:f>
              <c:strCache>
                <c:ptCount val="12"/>
                <c:pt idx="0">
                  <c:v>Amenazas</c:v>
                </c:pt>
                <c:pt idx="1">
                  <c:v>Corrupción</c:v>
                </c:pt>
                <c:pt idx="2">
                  <c:v>Delitos financieros</c:v>
                </c:pt>
                <c:pt idx="3">
                  <c:v>Fraude</c:v>
                </c:pt>
                <c:pt idx="4">
                  <c:v>Homicidio</c:v>
                </c:pt>
                <c:pt idx="5">
                  <c:v>Hurto</c:v>
                </c:pt>
                <c:pt idx="6">
                  <c:v>Narcotráfico</c:v>
                </c:pt>
                <c:pt idx="7">
                  <c:v>Robo</c:v>
                </c:pt>
                <c:pt idx="8">
                  <c:v>Secuestro</c:v>
                </c:pt>
                <c:pt idx="9">
                  <c:v>Vandalismo</c:v>
                </c:pt>
                <c:pt idx="10">
                  <c:v>Violación</c:v>
                </c:pt>
                <c:pt idx="11">
                  <c:v>Violencia de género</c:v>
                </c:pt>
              </c:strCache>
            </c:strRef>
          </c:cat>
          <c:val>
            <c:numRef>
              <c:f>'Tipos de delitos x año'!$J$5:$J$17</c:f>
              <c:numCache>
                <c:formatCode>General</c:formatCode>
                <c:ptCount val="12"/>
                <c:pt idx="0">
                  <c:v>6</c:v>
                </c:pt>
                <c:pt idx="1">
                  <c:v>10</c:v>
                </c:pt>
                <c:pt idx="2">
                  <c:v>5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10</c:v>
                </c:pt>
                <c:pt idx="7">
                  <c:v>4</c:v>
                </c:pt>
                <c:pt idx="8">
                  <c:v>8</c:v>
                </c:pt>
                <c:pt idx="9">
                  <c:v>11</c:v>
                </c:pt>
                <c:pt idx="10">
                  <c:v>6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8D-4466-92FA-60139719884C}"/>
            </c:ext>
          </c:extLst>
        </c:ser>
        <c:ser>
          <c:idx val="9"/>
          <c:order val="9"/>
          <c:tx>
            <c:strRef>
              <c:f>'Tipos de delitos x año'!$K$3:$K$4</c:f>
              <c:strCache>
                <c:ptCount val="1"/>
                <c:pt idx="0">
                  <c:v>oct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'Tipos de delitos x año'!$A$5:$A$17</c:f>
              <c:strCache>
                <c:ptCount val="12"/>
                <c:pt idx="0">
                  <c:v>Amenazas</c:v>
                </c:pt>
                <c:pt idx="1">
                  <c:v>Corrupción</c:v>
                </c:pt>
                <c:pt idx="2">
                  <c:v>Delitos financieros</c:v>
                </c:pt>
                <c:pt idx="3">
                  <c:v>Fraude</c:v>
                </c:pt>
                <c:pt idx="4">
                  <c:v>Homicidio</c:v>
                </c:pt>
                <c:pt idx="5">
                  <c:v>Hurto</c:v>
                </c:pt>
                <c:pt idx="6">
                  <c:v>Narcotráfico</c:v>
                </c:pt>
                <c:pt idx="7">
                  <c:v>Robo</c:v>
                </c:pt>
                <c:pt idx="8">
                  <c:v>Secuestro</c:v>
                </c:pt>
                <c:pt idx="9">
                  <c:v>Vandalismo</c:v>
                </c:pt>
                <c:pt idx="10">
                  <c:v>Violación</c:v>
                </c:pt>
                <c:pt idx="11">
                  <c:v>Violencia de género</c:v>
                </c:pt>
              </c:strCache>
            </c:strRef>
          </c:cat>
          <c:val>
            <c:numRef>
              <c:f>'Tipos de delitos x año'!$K$5:$K$17</c:f>
              <c:numCache>
                <c:formatCode>General</c:formatCode>
                <c:ptCount val="12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7</c:v>
                </c:pt>
                <c:pt idx="4">
                  <c:v>5</c:v>
                </c:pt>
                <c:pt idx="5">
                  <c:v>9</c:v>
                </c:pt>
                <c:pt idx="6">
                  <c:v>9</c:v>
                </c:pt>
                <c:pt idx="7">
                  <c:v>11</c:v>
                </c:pt>
                <c:pt idx="8">
                  <c:v>8</c:v>
                </c:pt>
                <c:pt idx="9">
                  <c:v>9</c:v>
                </c:pt>
                <c:pt idx="10">
                  <c:v>13</c:v>
                </c:pt>
                <c:pt idx="1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8D-4466-92FA-60139719884C}"/>
            </c:ext>
          </c:extLst>
        </c:ser>
        <c:ser>
          <c:idx val="10"/>
          <c:order val="10"/>
          <c:tx>
            <c:strRef>
              <c:f>'Tipos de delitos x año'!$L$3:$L$4</c:f>
              <c:strCache>
                <c:ptCount val="1"/>
                <c:pt idx="0">
                  <c:v>nov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'Tipos de delitos x año'!$A$5:$A$17</c:f>
              <c:strCache>
                <c:ptCount val="12"/>
                <c:pt idx="0">
                  <c:v>Amenazas</c:v>
                </c:pt>
                <c:pt idx="1">
                  <c:v>Corrupción</c:v>
                </c:pt>
                <c:pt idx="2">
                  <c:v>Delitos financieros</c:v>
                </c:pt>
                <c:pt idx="3">
                  <c:v>Fraude</c:v>
                </c:pt>
                <c:pt idx="4">
                  <c:v>Homicidio</c:v>
                </c:pt>
                <c:pt idx="5">
                  <c:v>Hurto</c:v>
                </c:pt>
                <c:pt idx="6">
                  <c:v>Narcotráfico</c:v>
                </c:pt>
                <c:pt idx="7">
                  <c:v>Robo</c:v>
                </c:pt>
                <c:pt idx="8">
                  <c:v>Secuestro</c:v>
                </c:pt>
                <c:pt idx="9">
                  <c:v>Vandalismo</c:v>
                </c:pt>
                <c:pt idx="10">
                  <c:v>Violación</c:v>
                </c:pt>
                <c:pt idx="11">
                  <c:v>Violencia de género</c:v>
                </c:pt>
              </c:strCache>
            </c:strRef>
          </c:cat>
          <c:val>
            <c:numRef>
              <c:f>'Tipos de delitos x año'!$L$5:$L$17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9</c:v>
                </c:pt>
                <c:pt idx="3">
                  <c:v>9</c:v>
                </c:pt>
                <c:pt idx="4">
                  <c:v>5</c:v>
                </c:pt>
                <c:pt idx="5">
                  <c:v>7</c:v>
                </c:pt>
                <c:pt idx="6">
                  <c:v>6</c:v>
                </c:pt>
                <c:pt idx="7">
                  <c:v>6</c:v>
                </c:pt>
                <c:pt idx="8">
                  <c:v>7</c:v>
                </c:pt>
                <c:pt idx="9">
                  <c:v>2</c:v>
                </c:pt>
                <c:pt idx="10">
                  <c:v>6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D8D-4466-92FA-60139719884C}"/>
            </c:ext>
          </c:extLst>
        </c:ser>
        <c:ser>
          <c:idx val="11"/>
          <c:order val="11"/>
          <c:tx>
            <c:strRef>
              <c:f>'Tipos de delitos x año'!$M$3:$M$4</c:f>
              <c:strCache>
                <c:ptCount val="1"/>
                <c:pt idx="0">
                  <c:v>dic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'Tipos de delitos x año'!$A$5:$A$17</c:f>
              <c:strCache>
                <c:ptCount val="12"/>
                <c:pt idx="0">
                  <c:v>Amenazas</c:v>
                </c:pt>
                <c:pt idx="1">
                  <c:v>Corrupción</c:v>
                </c:pt>
                <c:pt idx="2">
                  <c:v>Delitos financieros</c:v>
                </c:pt>
                <c:pt idx="3">
                  <c:v>Fraude</c:v>
                </c:pt>
                <c:pt idx="4">
                  <c:v>Homicidio</c:v>
                </c:pt>
                <c:pt idx="5">
                  <c:v>Hurto</c:v>
                </c:pt>
                <c:pt idx="6">
                  <c:v>Narcotráfico</c:v>
                </c:pt>
                <c:pt idx="7">
                  <c:v>Robo</c:v>
                </c:pt>
                <c:pt idx="8">
                  <c:v>Secuestro</c:v>
                </c:pt>
                <c:pt idx="9">
                  <c:v>Vandalismo</c:v>
                </c:pt>
                <c:pt idx="10">
                  <c:v>Violación</c:v>
                </c:pt>
                <c:pt idx="11">
                  <c:v>Violencia de género</c:v>
                </c:pt>
              </c:strCache>
            </c:strRef>
          </c:cat>
          <c:val>
            <c:numRef>
              <c:f>'Tipos de delitos x año'!$M$5:$M$17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2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D8D-4466-92FA-601397198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12526591"/>
        <c:axId val="512522847"/>
        <c:axId val="0"/>
      </c:bar3DChart>
      <c:catAx>
        <c:axId val="51252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12522847"/>
        <c:crosses val="autoZero"/>
        <c:auto val="1"/>
        <c:lblAlgn val="ctr"/>
        <c:lblOffset val="100"/>
        <c:noMultiLvlLbl val="0"/>
      </c:catAx>
      <c:valAx>
        <c:axId val="51252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12526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634150276128228"/>
          <c:y val="0.11993816538001571"/>
          <c:w val="0.13414630711316633"/>
          <c:h val="0.55687970716717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32323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delincuencia - Córdoba.xlsm]Data delincuentes!TablaDinámica10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'Data delincuentes'!$B$3:$B$4</c:f>
              <c:strCache>
                <c:ptCount val="1"/>
                <c:pt idx="0">
                  <c:v>Femenino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'Data delincuentes'!$A$5:$A$12</c:f>
              <c:strCache>
                <c:ptCount val="7"/>
                <c:pt idx="0">
                  <c:v>&lt;=17</c:v>
                </c:pt>
                <c:pt idx="1">
                  <c:v>18 - 25</c:v>
                </c:pt>
                <c:pt idx="2">
                  <c:v>26 - 35</c:v>
                </c:pt>
                <c:pt idx="3">
                  <c:v>36 - 45</c:v>
                </c:pt>
                <c:pt idx="4">
                  <c:v>46 - 55</c:v>
                </c:pt>
                <c:pt idx="5">
                  <c:v>56 - 65</c:v>
                </c:pt>
                <c:pt idx="6">
                  <c:v>&gt;65</c:v>
                </c:pt>
              </c:strCache>
            </c:strRef>
          </c:cat>
          <c:val>
            <c:numRef>
              <c:f>'Data delincuentes'!$B$5:$B$12</c:f>
              <c:numCache>
                <c:formatCode>General</c:formatCode>
                <c:ptCount val="7"/>
                <c:pt idx="0">
                  <c:v>45</c:v>
                </c:pt>
                <c:pt idx="1">
                  <c:v>69</c:v>
                </c:pt>
                <c:pt idx="2">
                  <c:v>94</c:v>
                </c:pt>
                <c:pt idx="3">
                  <c:v>78</c:v>
                </c:pt>
                <c:pt idx="4">
                  <c:v>86</c:v>
                </c:pt>
                <c:pt idx="5">
                  <c:v>78</c:v>
                </c:pt>
                <c:pt idx="6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4F-4B4D-AC33-705348DE24C5}"/>
            </c:ext>
          </c:extLst>
        </c:ser>
        <c:ser>
          <c:idx val="1"/>
          <c:order val="1"/>
          <c:tx>
            <c:strRef>
              <c:f>'Data delincuentes'!$C$3:$C$4</c:f>
              <c:strCache>
                <c:ptCount val="1"/>
                <c:pt idx="0">
                  <c:v>Masculino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'Data delincuentes'!$A$5:$A$12</c:f>
              <c:strCache>
                <c:ptCount val="7"/>
                <c:pt idx="0">
                  <c:v>&lt;=17</c:v>
                </c:pt>
                <c:pt idx="1">
                  <c:v>18 - 25</c:v>
                </c:pt>
                <c:pt idx="2">
                  <c:v>26 - 35</c:v>
                </c:pt>
                <c:pt idx="3">
                  <c:v>36 - 45</c:v>
                </c:pt>
                <c:pt idx="4">
                  <c:v>46 - 55</c:v>
                </c:pt>
                <c:pt idx="5">
                  <c:v>56 - 65</c:v>
                </c:pt>
                <c:pt idx="6">
                  <c:v>&gt;65</c:v>
                </c:pt>
              </c:strCache>
            </c:strRef>
          </c:cat>
          <c:val>
            <c:numRef>
              <c:f>'Data delincuentes'!$C$5:$C$12</c:f>
              <c:numCache>
                <c:formatCode>General</c:formatCode>
                <c:ptCount val="7"/>
                <c:pt idx="0">
                  <c:v>38</c:v>
                </c:pt>
                <c:pt idx="1">
                  <c:v>72</c:v>
                </c:pt>
                <c:pt idx="2">
                  <c:v>86</c:v>
                </c:pt>
                <c:pt idx="3">
                  <c:v>97</c:v>
                </c:pt>
                <c:pt idx="4">
                  <c:v>84</c:v>
                </c:pt>
                <c:pt idx="5">
                  <c:v>84</c:v>
                </c:pt>
                <c:pt idx="6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4F-4B4D-AC33-705348DE2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53504095"/>
        <c:axId val="1153496191"/>
      </c:barChart>
      <c:catAx>
        <c:axId val="1153504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53496191"/>
        <c:crosses val="autoZero"/>
        <c:auto val="1"/>
        <c:lblAlgn val="ctr"/>
        <c:lblOffset val="100"/>
        <c:noMultiLvlLbl val="0"/>
      </c:catAx>
      <c:valAx>
        <c:axId val="1153496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53504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32323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delincuencia - Córdoba.xlsm]Data victimas!TablaDinámica1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'Data victimas'!$B$3:$B$4</c:f>
              <c:strCache>
                <c:ptCount val="1"/>
                <c:pt idx="0">
                  <c:v>Femenino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'Data victimas'!$A$5:$A$12</c:f>
              <c:strCache>
                <c:ptCount val="7"/>
                <c:pt idx="0">
                  <c:v>&lt;=17</c:v>
                </c:pt>
                <c:pt idx="1">
                  <c:v>18 - 25</c:v>
                </c:pt>
                <c:pt idx="2">
                  <c:v>26 - 35</c:v>
                </c:pt>
                <c:pt idx="3">
                  <c:v>36 - 45</c:v>
                </c:pt>
                <c:pt idx="4">
                  <c:v>46 - 55</c:v>
                </c:pt>
                <c:pt idx="5">
                  <c:v>56 - 65</c:v>
                </c:pt>
                <c:pt idx="6">
                  <c:v>&gt;65</c:v>
                </c:pt>
              </c:strCache>
            </c:strRef>
          </c:cat>
          <c:val>
            <c:numRef>
              <c:f>'Data victimas'!$B$5:$B$12</c:f>
              <c:numCache>
                <c:formatCode>General</c:formatCode>
                <c:ptCount val="7"/>
                <c:pt idx="0">
                  <c:v>85</c:v>
                </c:pt>
                <c:pt idx="1">
                  <c:v>55</c:v>
                </c:pt>
                <c:pt idx="2">
                  <c:v>60</c:v>
                </c:pt>
                <c:pt idx="3">
                  <c:v>59</c:v>
                </c:pt>
                <c:pt idx="4">
                  <c:v>57</c:v>
                </c:pt>
                <c:pt idx="5">
                  <c:v>63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8-40CD-89E1-955676CD28E0}"/>
            </c:ext>
          </c:extLst>
        </c:ser>
        <c:ser>
          <c:idx val="1"/>
          <c:order val="1"/>
          <c:tx>
            <c:strRef>
              <c:f>'Data victimas'!$C$3:$C$4</c:f>
              <c:strCache>
                <c:ptCount val="1"/>
                <c:pt idx="0">
                  <c:v>Masculino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'Data victimas'!$A$5:$A$12</c:f>
              <c:strCache>
                <c:ptCount val="7"/>
                <c:pt idx="0">
                  <c:v>&lt;=17</c:v>
                </c:pt>
                <c:pt idx="1">
                  <c:v>18 - 25</c:v>
                </c:pt>
                <c:pt idx="2">
                  <c:v>26 - 35</c:v>
                </c:pt>
                <c:pt idx="3">
                  <c:v>36 - 45</c:v>
                </c:pt>
                <c:pt idx="4">
                  <c:v>46 - 55</c:v>
                </c:pt>
                <c:pt idx="5">
                  <c:v>56 - 65</c:v>
                </c:pt>
                <c:pt idx="6">
                  <c:v>&gt;65</c:v>
                </c:pt>
              </c:strCache>
            </c:strRef>
          </c:cat>
          <c:val>
            <c:numRef>
              <c:f>'Data victimas'!$C$5:$C$12</c:f>
              <c:numCache>
                <c:formatCode>General</c:formatCode>
                <c:ptCount val="7"/>
                <c:pt idx="0">
                  <c:v>100</c:v>
                </c:pt>
                <c:pt idx="1">
                  <c:v>54</c:v>
                </c:pt>
                <c:pt idx="2">
                  <c:v>59</c:v>
                </c:pt>
                <c:pt idx="3">
                  <c:v>71</c:v>
                </c:pt>
                <c:pt idx="4">
                  <c:v>59</c:v>
                </c:pt>
                <c:pt idx="5">
                  <c:v>60</c:v>
                </c:pt>
                <c:pt idx="6">
                  <c:v>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18-40CD-89E1-955676CD2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03551999"/>
        <c:axId val="1603574879"/>
      </c:barChart>
      <c:catAx>
        <c:axId val="16035519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03574879"/>
        <c:crosses val="autoZero"/>
        <c:auto val="1"/>
        <c:lblAlgn val="ctr"/>
        <c:lblOffset val="100"/>
        <c:noMultiLvlLbl val="0"/>
      </c:catAx>
      <c:valAx>
        <c:axId val="1603574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03551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32323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delincuencia - Córdoba.xlsm]ARRESTOS!TablaDinámica11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ARRESTOS!$B$3:$B$6</c:f>
              <c:strCache>
                <c:ptCount val="1"/>
                <c:pt idx="0">
                  <c:v>No - Drogas - No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32C-473C-8F67-7DFAFACD598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32C-473C-8F67-7DFAFACD598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32C-473C-8F67-7DFAFACD598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32C-473C-8F67-7DFAFACD598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32C-473C-8F67-7DFAFACD598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FE9-4650-8907-578CADD6EEB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FE9-4650-8907-578CADD6EEB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4FE9-4650-8907-578CADD6EEB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FE9-4650-8907-578CADD6EEB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FE9-4650-8907-578CADD6EE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ARRESTOS!$A$7:$A$17</c:f>
              <c:strCach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strCache>
            </c:strRef>
          </c:cat>
          <c:val>
            <c:numRef>
              <c:f>ARRESTOS!$B$7:$B$17</c:f>
              <c:numCache>
                <c:formatCode>General</c:formatCode>
                <c:ptCount val="10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16</c:v>
                </c:pt>
                <c:pt idx="4">
                  <c:v>25</c:v>
                </c:pt>
                <c:pt idx="5">
                  <c:v>19</c:v>
                </c:pt>
                <c:pt idx="6">
                  <c:v>19</c:v>
                </c:pt>
                <c:pt idx="7">
                  <c:v>23</c:v>
                </c:pt>
                <c:pt idx="8">
                  <c:v>25</c:v>
                </c:pt>
                <c:pt idx="9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2C-473C-8F67-7DFAFACD598D}"/>
            </c:ext>
          </c:extLst>
        </c:ser>
        <c:ser>
          <c:idx val="1"/>
          <c:order val="1"/>
          <c:tx>
            <c:strRef>
              <c:f>ARRESTOS!$C$3:$C$6</c:f>
              <c:strCache>
                <c:ptCount val="1"/>
                <c:pt idx="0">
                  <c:v>No - Drogas - Sí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B32C-473C-8F67-7DFAFACD598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B32C-473C-8F67-7DFAFACD598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B32C-473C-8F67-7DFAFACD598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B32C-473C-8F67-7DFAFACD598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B32C-473C-8F67-7DFAFACD598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4FE9-4650-8907-578CADD6EEB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4FE9-4650-8907-578CADD6EEB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4FE9-4650-8907-578CADD6EEB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4FE9-4650-8907-578CADD6EEB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4FE9-4650-8907-578CADD6EEBD}"/>
              </c:ext>
            </c:extLst>
          </c:dPt>
          <c:cat>
            <c:strRef>
              <c:f>ARRESTOS!$A$7:$A$17</c:f>
              <c:strCach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strCache>
            </c:strRef>
          </c:cat>
          <c:val>
            <c:numRef>
              <c:f>ARRESTOS!$C$7:$C$17</c:f>
              <c:numCache>
                <c:formatCode>General</c:formatCode>
                <c:ptCount val="10"/>
                <c:pt idx="0">
                  <c:v>8</c:v>
                </c:pt>
                <c:pt idx="1">
                  <c:v>15</c:v>
                </c:pt>
                <c:pt idx="2">
                  <c:v>15</c:v>
                </c:pt>
                <c:pt idx="3">
                  <c:v>11</c:v>
                </c:pt>
                <c:pt idx="4">
                  <c:v>21</c:v>
                </c:pt>
                <c:pt idx="5">
                  <c:v>17</c:v>
                </c:pt>
                <c:pt idx="6">
                  <c:v>20</c:v>
                </c:pt>
                <c:pt idx="7">
                  <c:v>13</c:v>
                </c:pt>
                <c:pt idx="8">
                  <c:v>15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32C-473C-8F67-7DFAFACD598D}"/>
            </c:ext>
          </c:extLst>
        </c:ser>
        <c:ser>
          <c:idx val="2"/>
          <c:order val="2"/>
          <c:tx>
            <c:strRef>
              <c:f>ARRESTOS!$E$3:$E$6</c:f>
              <c:strCache>
                <c:ptCount val="1"/>
                <c:pt idx="0">
                  <c:v>No - Alcohol - No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4FE9-4650-8907-578CADD6EEB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4FE9-4650-8907-578CADD6EEB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4FE9-4650-8907-578CADD6EEB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4FE9-4650-8907-578CADD6EEB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1-4FE9-4650-8907-578CADD6EEB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3-4FE9-4650-8907-578CADD6EEB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5-4FE9-4650-8907-578CADD6EEB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7-4FE9-4650-8907-578CADD6EEB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9-4FE9-4650-8907-578CADD6EEB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B-4FE9-4650-8907-578CADD6EEBD}"/>
              </c:ext>
            </c:extLst>
          </c:dPt>
          <c:cat>
            <c:strRef>
              <c:f>ARRESTOS!$A$7:$A$17</c:f>
              <c:strCach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strCache>
            </c:strRef>
          </c:cat>
          <c:val>
            <c:numRef>
              <c:f>ARRESTOS!$E$7:$E$17</c:f>
              <c:numCache>
                <c:formatCode>General</c:formatCode>
                <c:ptCount val="10"/>
                <c:pt idx="0">
                  <c:v>12</c:v>
                </c:pt>
                <c:pt idx="1">
                  <c:v>10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7</c:v>
                </c:pt>
                <c:pt idx="6">
                  <c:v>10</c:v>
                </c:pt>
                <c:pt idx="7">
                  <c:v>9</c:v>
                </c:pt>
                <c:pt idx="8">
                  <c:v>8</c:v>
                </c:pt>
                <c:pt idx="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8A4-4869-AC8C-5F2E844A3411}"/>
            </c:ext>
          </c:extLst>
        </c:ser>
        <c:ser>
          <c:idx val="3"/>
          <c:order val="3"/>
          <c:tx>
            <c:strRef>
              <c:f>ARRESTOS!$F$3:$F$6</c:f>
              <c:strCache>
                <c:ptCount val="1"/>
                <c:pt idx="0">
                  <c:v>No - Alcohol - Sí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D-4FE9-4650-8907-578CADD6EEB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F-4FE9-4650-8907-578CADD6EEB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1-4FE9-4650-8907-578CADD6EEB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3-4FE9-4650-8907-578CADD6EEB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5-4FE9-4650-8907-578CADD6EEB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7-4FE9-4650-8907-578CADD6EEB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9-4FE9-4650-8907-578CADD6EEB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B-4FE9-4650-8907-578CADD6EEB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D-4FE9-4650-8907-578CADD6EEB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F-4FE9-4650-8907-578CADD6EEBD}"/>
              </c:ext>
            </c:extLst>
          </c:dPt>
          <c:cat>
            <c:strRef>
              <c:f>ARRESTOS!$A$7:$A$17</c:f>
              <c:strCach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strCache>
            </c:strRef>
          </c:cat>
          <c:val>
            <c:numRef>
              <c:f>ARRESTOS!$F$7:$F$17</c:f>
              <c:numCache>
                <c:formatCode>General</c:formatCode>
                <c:ptCount val="10"/>
                <c:pt idx="0">
                  <c:v>7</c:v>
                </c:pt>
                <c:pt idx="1">
                  <c:v>3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  <c:pt idx="5">
                  <c:v>8</c:v>
                </c:pt>
                <c:pt idx="6">
                  <c:v>9</c:v>
                </c:pt>
                <c:pt idx="7">
                  <c:v>3</c:v>
                </c:pt>
                <c:pt idx="8">
                  <c:v>5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8A4-4869-AC8C-5F2E844A3411}"/>
            </c:ext>
          </c:extLst>
        </c:ser>
        <c:ser>
          <c:idx val="4"/>
          <c:order val="4"/>
          <c:tx>
            <c:strRef>
              <c:f>ARRESTOS!$I$3:$I$6</c:f>
              <c:strCache>
                <c:ptCount val="1"/>
                <c:pt idx="0">
                  <c:v>Sí - Drogas - No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ARRESTOS!$A$7:$A$17</c:f>
              <c:strCach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strCache>
            </c:strRef>
          </c:cat>
          <c:val>
            <c:numRef>
              <c:f>ARRESTOS!$I$7:$I$17</c:f>
              <c:numCache>
                <c:formatCode>General</c:formatCode>
                <c:ptCount val="10"/>
                <c:pt idx="0">
                  <c:v>24</c:v>
                </c:pt>
                <c:pt idx="1">
                  <c:v>14</c:v>
                </c:pt>
                <c:pt idx="2">
                  <c:v>20</c:v>
                </c:pt>
                <c:pt idx="3">
                  <c:v>25</c:v>
                </c:pt>
                <c:pt idx="4">
                  <c:v>28</c:v>
                </c:pt>
                <c:pt idx="5">
                  <c:v>13</c:v>
                </c:pt>
                <c:pt idx="6">
                  <c:v>25</c:v>
                </c:pt>
                <c:pt idx="7">
                  <c:v>16</c:v>
                </c:pt>
                <c:pt idx="8">
                  <c:v>35</c:v>
                </c:pt>
                <c:pt idx="9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1-7789-4FED-8995-05B0A9CEF470}"/>
            </c:ext>
          </c:extLst>
        </c:ser>
        <c:ser>
          <c:idx val="5"/>
          <c:order val="5"/>
          <c:tx>
            <c:strRef>
              <c:f>ARRESTOS!$J$3:$J$6</c:f>
              <c:strCache>
                <c:ptCount val="1"/>
                <c:pt idx="0">
                  <c:v>Sí - Drogas - Sí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ARRESTOS!$A$7:$A$17</c:f>
              <c:strCach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strCache>
            </c:strRef>
          </c:cat>
          <c:val>
            <c:numRef>
              <c:f>ARRESTOS!$J$7:$J$17</c:f>
              <c:numCache>
                <c:formatCode>General</c:formatCode>
                <c:ptCount val="10"/>
                <c:pt idx="0">
                  <c:v>11</c:v>
                </c:pt>
                <c:pt idx="1">
                  <c:v>16</c:v>
                </c:pt>
                <c:pt idx="2">
                  <c:v>11</c:v>
                </c:pt>
                <c:pt idx="3">
                  <c:v>12</c:v>
                </c:pt>
                <c:pt idx="4">
                  <c:v>15</c:v>
                </c:pt>
                <c:pt idx="5">
                  <c:v>10</c:v>
                </c:pt>
                <c:pt idx="6">
                  <c:v>7</c:v>
                </c:pt>
                <c:pt idx="7">
                  <c:v>5</c:v>
                </c:pt>
                <c:pt idx="8">
                  <c:v>13</c:v>
                </c:pt>
                <c:pt idx="9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2-7789-4FED-8995-05B0A9CEF470}"/>
            </c:ext>
          </c:extLst>
        </c:ser>
        <c:ser>
          <c:idx val="6"/>
          <c:order val="6"/>
          <c:tx>
            <c:strRef>
              <c:f>ARRESTOS!$L$3:$L$6</c:f>
              <c:strCache>
                <c:ptCount val="1"/>
                <c:pt idx="0">
                  <c:v>Sí - Alcohol - No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ARRESTOS!$A$7:$A$17</c:f>
              <c:strCach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strCache>
            </c:strRef>
          </c:cat>
          <c:val>
            <c:numRef>
              <c:f>ARRESTOS!$L$7:$L$17</c:f>
              <c:numCache>
                <c:formatCode>General</c:formatCode>
                <c:ptCount val="10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16</c:v>
                </c:pt>
                <c:pt idx="6">
                  <c:v>8</c:v>
                </c:pt>
                <c:pt idx="7">
                  <c:v>17</c:v>
                </c:pt>
                <c:pt idx="8">
                  <c:v>7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3-7789-4FED-8995-05B0A9CEF470}"/>
            </c:ext>
          </c:extLst>
        </c:ser>
        <c:ser>
          <c:idx val="7"/>
          <c:order val="7"/>
          <c:tx>
            <c:strRef>
              <c:f>ARRESTOS!$M$3:$M$6</c:f>
              <c:strCache>
                <c:ptCount val="1"/>
                <c:pt idx="0">
                  <c:v>Sí - Alcohol - Sí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ARRESTOS!$A$7:$A$17</c:f>
              <c:strCach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strCache>
            </c:strRef>
          </c:cat>
          <c:val>
            <c:numRef>
              <c:f>ARRESTOS!$M$7:$M$17</c:f>
              <c:numCache>
                <c:formatCode>General</c:formatCode>
                <c:ptCount val="1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4</c:v>
                </c:pt>
                <c:pt idx="4">
                  <c:v>7</c:v>
                </c:pt>
                <c:pt idx="5">
                  <c:v>8</c:v>
                </c:pt>
                <c:pt idx="6">
                  <c:v>5</c:v>
                </c:pt>
                <c:pt idx="7">
                  <c:v>7</c:v>
                </c:pt>
                <c:pt idx="8">
                  <c:v>7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4-7789-4FED-8995-05B0A9CEF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32323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delincuencia - Córdoba.xlsm]Franja horaria!TablaDinámica2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402012966455664E-2"/>
          <c:y val="8.0586080586080591E-2"/>
          <c:w val="0.89655921235294311"/>
          <c:h val="0.60455827636930004"/>
        </c:manualLayout>
      </c:layout>
      <c:lineChart>
        <c:grouping val="standard"/>
        <c:varyColors val="0"/>
        <c:ser>
          <c:idx val="0"/>
          <c:order val="0"/>
          <c:tx>
            <c:strRef>
              <c:f>'Franja horaria'!$B$3:$B$4</c:f>
              <c:strCache>
                <c:ptCount val="1"/>
                <c:pt idx="0">
                  <c:v>Alberdi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'Franja horaria'!$A$5:$A$29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'Franja horaria'!$B$5:$B$29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6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6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5</c:v>
                </c:pt>
                <c:pt idx="18">
                  <c:v>7</c:v>
                </c:pt>
                <c:pt idx="19">
                  <c:v>9</c:v>
                </c:pt>
                <c:pt idx="20">
                  <c:v>4</c:v>
                </c:pt>
                <c:pt idx="21">
                  <c:v>7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1E-411D-A62B-54803C225317}"/>
            </c:ext>
          </c:extLst>
        </c:ser>
        <c:ser>
          <c:idx val="1"/>
          <c:order val="1"/>
          <c:tx>
            <c:strRef>
              <c:f>'Franja horaria'!$C$3:$C$4</c:f>
              <c:strCache>
                <c:ptCount val="1"/>
                <c:pt idx="0">
                  <c:v>Alta Córdoba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'Franja horaria'!$A$5:$A$29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'Franja horaria'!$C$5:$C$29</c:f>
              <c:numCache>
                <c:formatCode>General</c:formatCode>
                <c:ptCount val="24"/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7">
                  <c:v>1</c:v>
                </c:pt>
                <c:pt idx="9">
                  <c:v>6</c:v>
                </c:pt>
                <c:pt idx="10">
                  <c:v>5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3</c:v>
                </c:pt>
                <c:pt idx="15">
                  <c:v>5</c:v>
                </c:pt>
                <c:pt idx="16">
                  <c:v>6</c:v>
                </c:pt>
                <c:pt idx="17">
                  <c:v>8</c:v>
                </c:pt>
                <c:pt idx="18">
                  <c:v>5</c:v>
                </c:pt>
                <c:pt idx="19">
                  <c:v>10</c:v>
                </c:pt>
                <c:pt idx="20">
                  <c:v>5</c:v>
                </c:pt>
                <c:pt idx="21">
                  <c:v>12</c:v>
                </c:pt>
                <c:pt idx="22">
                  <c:v>3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9C-4BC7-8C5A-10FEE5401EE3}"/>
            </c:ext>
          </c:extLst>
        </c:ser>
        <c:ser>
          <c:idx val="2"/>
          <c:order val="2"/>
          <c:tx>
            <c:strRef>
              <c:f>'Franja horaria'!$D$3:$D$4</c:f>
              <c:strCache>
                <c:ptCount val="1"/>
                <c:pt idx="0">
                  <c:v>Argüello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'Franja horaria'!$A$5:$A$29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'Franja horaria'!$D$5:$D$29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5</c:v>
                </c:pt>
                <c:pt idx="10">
                  <c:v>6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4</c:v>
                </c:pt>
                <c:pt idx="19">
                  <c:v>9</c:v>
                </c:pt>
                <c:pt idx="20">
                  <c:v>4</c:v>
                </c:pt>
                <c:pt idx="21">
                  <c:v>5</c:v>
                </c:pt>
                <c:pt idx="22">
                  <c:v>3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9C-4BC7-8C5A-10FEE5401EE3}"/>
            </c:ext>
          </c:extLst>
        </c:ser>
        <c:ser>
          <c:idx val="3"/>
          <c:order val="3"/>
          <c:tx>
            <c:strRef>
              <c:f>'Franja horaria'!$E$3:$E$4</c:f>
              <c:strCache>
                <c:ptCount val="1"/>
                <c:pt idx="0">
                  <c:v>Centro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'Franja horaria'!$A$5:$A$29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'Franja horaria'!$E$5:$E$29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6</c:v>
                </c:pt>
                <c:pt idx="11">
                  <c:v>6</c:v>
                </c:pt>
                <c:pt idx="12">
                  <c:v>4</c:v>
                </c:pt>
                <c:pt idx="13">
                  <c:v>6</c:v>
                </c:pt>
                <c:pt idx="14">
                  <c:v>1</c:v>
                </c:pt>
                <c:pt idx="15">
                  <c:v>10</c:v>
                </c:pt>
                <c:pt idx="16">
                  <c:v>5</c:v>
                </c:pt>
                <c:pt idx="17">
                  <c:v>4</c:v>
                </c:pt>
                <c:pt idx="18">
                  <c:v>2</c:v>
                </c:pt>
                <c:pt idx="19">
                  <c:v>7</c:v>
                </c:pt>
                <c:pt idx="20">
                  <c:v>5</c:v>
                </c:pt>
                <c:pt idx="21">
                  <c:v>5</c:v>
                </c:pt>
                <c:pt idx="22">
                  <c:v>4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9C-4BC7-8C5A-10FEE5401EE3}"/>
            </c:ext>
          </c:extLst>
        </c:ser>
        <c:ser>
          <c:idx val="4"/>
          <c:order val="4"/>
          <c:tx>
            <c:strRef>
              <c:f>'Franja horaria'!$F$3:$F$4</c:f>
              <c:strCache>
                <c:ptCount val="1"/>
                <c:pt idx="0">
                  <c:v>Cerro de las Rosas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'Franja horaria'!$A$5:$A$29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'Franja horaria'!$F$5:$F$29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5</c:v>
                </c:pt>
                <c:pt idx="14">
                  <c:v>5</c:v>
                </c:pt>
                <c:pt idx="15">
                  <c:v>3</c:v>
                </c:pt>
                <c:pt idx="16">
                  <c:v>5</c:v>
                </c:pt>
                <c:pt idx="17">
                  <c:v>3</c:v>
                </c:pt>
                <c:pt idx="18">
                  <c:v>5</c:v>
                </c:pt>
                <c:pt idx="19">
                  <c:v>7</c:v>
                </c:pt>
                <c:pt idx="20">
                  <c:v>3</c:v>
                </c:pt>
                <c:pt idx="21">
                  <c:v>5</c:v>
                </c:pt>
                <c:pt idx="22">
                  <c:v>5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9C-4BC7-8C5A-10FEE5401EE3}"/>
            </c:ext>
          </c:extLst>
        </c:ser>
        <c:ser>
          <c:idx val="5"/>
          <c:order val="5"/>
          <c:tx>
            <c:strRef>
              <c:f>'Franja horaria'!$G$3:$G$4</c:f>
              <c:strCache>
                <c:ptCount val="1"/>
                <c:pt idx="0">
                  <c:v>General Paz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'Franja horaria'!$A$5:$A$29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'Franja horaria'!$G$5:$G$29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9">
                  <c:v>3</c:v>
                </c:pt>
                <c:pt idx="10">
                  <c:v>10</c:v>
                </c:pt>
                <c:pt idx="11">
                  <c:v>4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6</c:v>
                </c:pt>
                <c:pt idx="20">
                  <c:v>6</c:v>
                </c:pt>
                <c:pt idx="21">
                  <c:v>8</c:v>
                </c:pt>
                <c:pt idx="22">
                  <c:v>4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29C-4BC7-8C5A-10FEE5401EE3}"/>
            </c:ext>
          </c:extLst>
        </c:ser>
        <c:ser>
          <c:idx val="6"/>
          <c:order val="6"/>
          <c:tx>
            <c:strRef>
              <c:f>'Franja horaria'!$H$3:$H$4</c:f>
              <c:strCache>
                <c:ptCount val="1"/>
                <c:pt idx="0">
                  <c:v>IPV Argüello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'Franja horaria'!$A$5:$A$29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'Franja horaria'!$H$5:$H$29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4</c:v>
                </c:pt>
                <c:pt idx="14">
                  <c:v>5</c:v>
                </c:pt>
                <c:pt idx="15">
                  <c:v>2</c:v>
                </c:pt>
                <c:pt idx="16">
                  <c:v>7</c:v>
                </c:pt>
                <c:pt idx="17">
                  <c:v>2</c:v>
                </c:pt>
                <c:pt idx="18">
                  <c:v>7</c:v>
                </c:pt>
                <c:pt idx="19">
                  <c:v>8</c:v>
                </c:pt>
                <c:pt idx="20">
                  <c:v>6</c:v>
                </c:pt>
                <c:pt idx="21">
                  <c:v>6</c:v>
                </c:pt>
                <c:pt idx="22">
                  <c:v>13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29C-4BC7-8C5A-10FEE5401EE3}"/>
            </c:ext>
          </c:extLst>
        </c:ser>
        <c:ser>
          <c:idx val="7"/>
          <c:order val="7"/>
          <c:tx>
            <c:strRef>
              <c:f>'Franja horaria'!$I$3:$I$4</c:f>
              <c:strCache>
                <c:ptCount val="1"/>
                <c:pt idx="0">
                  <c:v>Jardín Espinosa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'Franja horaria'!$A$5:$A$29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'Franja horaria'!$I$5:$I$29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  <c:pt idx="10">
                  <c:v>4</c:v>
                </c:pt>
                <c:pt idx="12">
                  <c:v>3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7</c:v>
                </c:pt>
                <c:pt idx="17">
                  <c:v>1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2</c:v>
                </c:pt>
                <c:pt idx="22">
                  <c:v>6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29C-4BC7-8C5A-10FEE5401EE3}"/>
            </c:ext>
          </c:extLst>
        </c:ser>
        <c:ser>
          <c:idx val="8"/>
          <c:order val="8"/>
          <c:tx>
            <c:strRef>
              <c:f>'Franja horaria'!$J$3:$J$4</c:f>
              <c:strCache>
                <c:ptCount val="1"/>
                <c:pt idx="0">
                  <c:v>Nueva Córdoba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'Franja horaria'!$A$5:$A$29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'Franja horaria'!$J$5:$J$29</c:f>
              <c:numCache>
                <c:formatCode>General</c:formatCode>
                <c:ptCount val="24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6</c:v>
                </c:pt>
                <c:pt idx="14">
                  <c:v>1</c:v>
                </c:pt>
                <c:pt idx="15">
                  <c:v>4</c:v>
                </c:pt>
                <c:pt idx="16">
                  <c:v>5</c:v>
                </c:pt>
                <c:pt idx="17">
                  <c:v>2</c:v>
                </c:pt>
                <c:pt idx="18">
                  <c:v>10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29C-4BC7-8C5A-10FEE5401EE3}"/>
            </c:ext>
          </c:extLst>
        </c:ser>
        <c:ser>
          <c:idx val="9"/>
          <c:order val="9"/>
          <c:tx>
            <c:strRef>
              <c:f>'Franja horaria'!$K$3:$K$4</c:f>
              <c:strCache>
                <c:ptCount val="1"/>
                <c:pt idx="0">
                  <c:v>Pueyrredón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'Franja horaria'!$A$5:$A$29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'Franja horaria'!$K$5:$K$29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6</c:v>
                </c:pt>
                <c:pt idx="16">
                  <c:v>9</c:v>
                </c:pt>
                <c:pt idx="17">
                  <c:v>4</c:v>
                </c:pt>
                <c:pt idx="18">
                  <c:v>4</c:v>
                </c:pt>
                <c:pt idx="19">
                  <c:v>6</c:v>
                </c:pt>
                <c:pt idx="20">
                  <c:v>7</c:v>
                </c:pt>
                <c:pt idx="21">
                  <c:v>9</c:v>
                </c:pt>
                <c:pt idx="22">
                  <c:v>7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29C-4BC7-8C5A-10FEE5401EE3}"/>
            </c:ext>
          </c:extLst>
        </c:ser>
        <c:ser>
          <c:idx val="10"/>
          <c:order val="10"/>
          <c:tx>
            <c:strRef>
              <c:f>'Franja horaria'!$L$3:$L$4</c:f>
              <c:strCache>
                <c:ptCount val="1"/>
                <c:pt idx="0">
                  <c:v>San Vicente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'Franja horaria'!$A$5:$A$29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'Franja horaria'!$L$5:$L$29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5</c:v>
                </c:pt>
                <c:pt idx="22">
                  <c:v>7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29C-4BC7-8C5A-10FEE5401EE3}"/>
            </c:ext>
          </c:extLst>
        </c:ser>
        <c:ser>
          <c:idx val="11"/>
          <c:order val="11"/>
          <c:tx>
            <c:strRef>
              <c:f>'Franja horaria'!$M$3:$M$4</c:f>
              <c:strCache>
                <c:ptCount val="1"/>
                <c:pt idx="0">
                  <c:v>Villa El Libertador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'Franja horaria'!$A$5:$A$29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'Franja horaria'!$M$5:$M$29</c:f>
              <c:numCache>
                <c:formatCode>General</c:formatCode>
                <c:ptCount val="24"/>
                <c:pt idx="1">
                  <c:v>2</c:v>
                </c:pt>
                <c:pt idx="2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3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3</c:v>
                </c:pt>
                <c:pt idx="20">
                  <c:v>6</c:v>
                </c:pt>
                <c:pt idx="21">
                  <c:v>5</c:v>
                </c:pt>
                <c:pt idx="22">
                  <c:v>7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29C-4BC7-8C5A-10FEE5401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6329183"/>
        <c:axId val="1656329599"/>
      </c:lineChart>
      <c:catAx>
        <c:axId val="1656329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56329599"/>
        <c:crosses val="autoZero"/>
        <c:auto val="1"/>
        <c:lblAlgn val="ctr"/>
        <c:lblOffset val="100"/>
        <c:noMultiLvlLbl val="0"/>
      </c:catAx>
      <c:valAx>
        <c:axId val="1656329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56329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32323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5942028985507245"/>
          <c:w val="1"/>
          <c:h val="0.82608695652173914"/>
        </c:manualLayout>
      </c:layout>
      <c:areaChart>
        <c:grouping val="standard"/>
        <c:varyColors val="0"/>
        <c:ser>
          <c:idx val="0"/>
          <c:order val="0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val>
            <c:numRef>
              <c:f>ARRESTOS!$A$48:$A$57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7</c:v>
                </c:pt>
                <c:pt idx="3">
                  <c:v>9</c:v>
                </c:pt>
                <c:pt idx="4">
                  <c:v>19</c:v>
                </c:pt>
                <c:pt idx="5">
                  <c:v>14</c:v>
                </c:pt>
                <c:pt idx="6">
                  <c:v>14</c:v>
                </c:pt>
                <c:pt idx="7">
                  <c:v>10</c:v>
                </c:pt>
                <c:pt idx="8">
                  <c:v>12</c:v>
                </c:pt>
                <c:pt idx="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0-4EF5-8045-2228F5402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332927"/>
        <c:axId val="1656331679"/>
      </c:areaChart>
      <c:catAx>
        <c:axId val="1656332927"/>
        <c:scaling>
          <c:orientation val="minMax"/>
        </c:scaling>
        <c:delete val="1"/>
        <c:axPos val="b"/>
        <c:majorTickMark val="out"/>
        <c:minorTickMark val="none"/>
        <c:tickLblPos val="nextTo"/>
        <c:crossAx val="1656331679"/>
        <c:crosses val="autoZero"/>
        <c:auto val="1"/>
        <c:lblAlgn val="ctr"/>
        <c:lblOffset val="100"/>
        <c:noMultiLvlLbl val="0"/>
      </c:catAx>
      <c:valAx>
        <c:axId val="16563316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56332927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684838207127117E-4"/>
          <c:y val="1.3889112472029749E-2"/>
          <c:w val="0.99444444444444446"/>
          <c:h val="0.98148148148148151"/>
        </c:manualLayout>
      </c:layout>
      <c:areaChart>
        <c:grouping val="standard"/>
        <c:varyColors val="0"/>
        <c:ser>
          <c:idx val="0"/>
          <c:order val="0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val>
            <c:numRef>
              <c:f>ARRESTOS!$D$48:$D$57</c:f>
              <c:numCache>
                <c:formatCode>General</c:formatCode>
                <c:ptCount val="1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4</c:v>
                </c:pt>
                <c:pt idx="4">
                  <c:v>7</c:v>
                </c:pt>
                <c:pt idx="5">
                  <c:v>8</c:v>
                </c:pt>
                <c:pt idx="6">
                  <c:v>5</c:v>
                </c:pt>
                <c:pt idx="7">
                  <c:v>7</c:v>
                </c:pt>
                <c:pt idx="8">
                  <c:v>7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49-488C-88E9-D6FD836F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3558655"/>
        <c:axId val="1603572799"/>
      </c:areaChart>
      <c:catAx>
        <c:axId val="1603558655"/>
        <c:scaling>
          <c:orientation val="minMax"/>
        </c:scaling>
        <c:delete val="1"/>
        <c:axPos val="b"/>
        <c:majorTickMark val="out"/>
        <c:minorTickMark val="none"/>
        <c:tickLblPos val="nextTo"/>
        <c:crossAx val="1603572799"/>
        <c:crosses val="autoZero"/>
        <c:auto val="1"/>
        <c:lblAlgn val="ctr"/>
        <c:lblOffset val="100"/>
        <c:noMultiLvlLbl val="0"/>
      </c:catAx>
      <c:valAx>
        <c:axId val="1603572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0355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684838207127117E-4"/>
          <c:y val="1.3889112472029749E-2"/>
          <c:w val="0.99444444444444446"/>
          <c:h val="0.98148148148148151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03558655"/>
        <c:axId val="1603572799"/>
      </c:areaChart>
      <c:catAx>
        <c:axId val="1603558655"/>
        <c:scaling>
          <c:orientation val="minMax"/>
        </c:scaling>
        <c:delete val="1"/>
        <c:axPos val="b"/>
        <c:majorTickMark val="out"/>
        <c:minorTickMark val="none"/>
        <c:tickLblPos val="nextTo"/>
        <c:crossAx val="1603572799"/>
        <c:crosses val="autoZero"/>
        <c:auto val="1"/>
        <c:lblAlgn val="ctr"/>
        <c:lblOffset val="100"/>
        <c:noMultiLvlLbl val="0"/>
      </c:catAx>
      <c:valAx>
        <c:axId val="1603572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0355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[Datos delincuencia - Córdoba.xlsm]ARMAS!TablaDinámica18</c:name>
    <c:fmtId val="1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70422479132219E-3"/>
          <c:y val="1.4329395570298661E-2"/>
          <c:w val="0.99444444444444446"/>
          <c:h val="0.98163129449728626"/>
        </c:manualLayout>
      </c:layout>
      <c:areaChart>
        <c:grouping val="stacked"/>
        <c:varyColors val="0"/>
        <c:ser>
          <c:idx val="0"/>
          <c:order val="0"/>
          <c:tx>
            <c:strRef>
              <c:f>ARMAS!$B$19:$B$20</c:f>
              <c:strCache>
                <c:ptCount val="1"/>
                <c:pt idx="0">
                  <c:v>Sí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ARMAS!$A$21:$A$26</c:f>
              <c:strCache>
                <c:ptCount val="5"/>
                <c:pt idx="0">
                  <c:v>Arma blanca</c:v>
                </c:pt>
                <c:pt idx="1">
                  <c:v>Arma de fuego</c:v>
                </c:pt>
                <c:pt idx="2">
                  <c:v>No info</c:v>
                </c:pt>
                <c:pt idx="3">
                  <c:v>Objeto contundente</c:v>
                </c:pt>
                <c:pt idx="4">
                  <c:v>Sin arma</c:v>
                </c:pt>
              </c:strCache>
            </c:strRef>
          </c:cat>
          <c:val>
            <c:numRef>
              <c:f>ARMAS!$B$21:$B$26</c:f>
              <c:numCache>
                <c:formatCode>General</c:formatCode>
                <c:ptCount val="5"/>
                <c:pt idx="0">
                  <c:v>22</c:v>
                </c:pt>
                <c:pt idx="1">
                  <c:v>30</c:v>
                </c:pt>
                <c:pt idx="2">
                  <c:v>396</c:v>
                </c:pt>
                <c:pt idx="3">
                  <c:v>28</c:v>
                </c:pt>
                <c:pt idx="4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9A-4195-96FB-06F4D2940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35983"/>
        <c:axId val="1412435567"/>
      </c:areaChart>
      <c:catAx>
        <c:axId val="14124359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12435567"/>
        <c:crosses val="autoZero"/>
        <c:auto val="1"/>
        <c:lblAlgn val="ctr"/>
        <c:lblOffset val="100"/>
        <c:noMultiLvlLbl val="0"/>
      </c:catAx>
      <c:valAx>
        <c:axId val="141243556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2435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[Datos delincuencia - Córdoba.xlsm]Delitos por día de la semana!TablaDinámica1</c:name>
    <c:fmtId val="3"/>
  </c:pivotSource>
  <c:chart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7779429913907185E-3"/>
          <c:y val="0.23611071343354806"/>
          <c:w val="0.99722222222222223"/>
          <c:h val="0.7592592592592593"/>
        </c:manualLayout>
      </c:layout>
      <c:areaChart>
        <c:grouping val="standard"/>
        <c:varyColors val="0"/>
        <c:ser>
          <c:idx val="0"/>
          <c:order val="0"/>
          <c:tx>
            <c:strRef>
              <c:f>'Delitos por día de la semana'!$B$1:$B$2</c:f>
              <c:strCache>
                <c:ptCount val="1"/>
                <c:pt idx="0">
                  <c:v>Amenazas</c:v>
                </c:pt>
              </c:strCache>
            </c:strRef>
          </c:tx>
          <c:spPr>
            <a:solidFill>
              <a:schemeClr val="accent2">
                <a:shade val="4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semana'!$B$3:$B$11</c:f>
              <c:numCache>
                <c:formatCode>General</c:formatCode>
                <c:ptCount val="8"/>
                <c:pt idx="0">
                  <c:v>6</c:v>
                </c:pt>
                <c:pt idx="1">
                  <c:v>11</c:v>
                </c:pt>
                <c:pt idx="2">
                  <c:v>6</c:v>
                </c:pt>
                <c:pt idx="3">
                  <c:v>8</c:v>
                </c:pt>
                <c:pt idx="4">
                  <c:v>17</c:v>
                </c:pt>
                <c:pt idx="5">
                  <c:v>9</c:v>
                </c:pt>
                <c:pt idx="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22-49B7-A298-51B78DCDF76F}"/>
            </c:ext>
          </c:extLst>
        </c:ser>
        <c:ser>
          <c:idx val="1"/>
          <c:order val="1"/>
          <c:tx>
            <c:strRef>
              <c:f>'Delitos por día de la semana'!$C$1:$C$2</c:f>
              <c:strCache>
                <c:ptCount val="1"/>
                <c:pt idx="0">
                  <c:v>Corrupción</c:v>
                </c:pt>
              </c:strCache>
            </c:strRef>
          </c:tx>
          <c:spPr>
            <a:solidFill>
              <a:schemeClr val="accent2">
                <a:shade val="5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semana'!$C$3:$C$11</c:f>
              <c:numCache>
                <c:formatCode>General</c:formatCode>
                <c:ptCount val="8"/>
                <c:pt idx="0">
                  <c:v>9</c:v>
                </c:pt>
                <c:pt idx="1">
                  <c:v>12</c:v>
                </c:pt>
                <c:pt idx="2">
                  <c:v>10</c:v>
                </c:pt>
                <c:pt idx="3">
                  <c:v>13</c:v>
                </c:pt>
                <c:pt idx="4">
                  <c:v>12</c:v>
                </c:pt>
                <c:pt idx="5">
                  <c:v>12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22-49B7-A298-51B78DCDF76F}"/>
            </c:ext>
          </c:extLst>
        </c:ser>
        <c:ser>
          <c:idx val="2"/>
          <c:order val="2"/>
          <c:tx>
            <c:strRef>
              <c:f>'Delitos por día de la semana'!$D$1:$D$2</c:f>
              <c:strCache>
                <c:ptCount val="1"/>
                <c:pt idx="0">
                  <c:v>Delitos financieros</c:v>
                </c:pt>
              </c:strCache>
            </c:strRef>
          </c:tx>
          <c:spPr>
            <a:solidFill>
              <a:schemeClr val="accent2">
                <a:shade val="6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semana'!$D$3:$D$11</c:f>
              <c:numCache>
                <c:formatCode>General</c:formatCode>
                <c:ptCount val="8"/>
                <c:pt idx="0">
                  <c:v>9</c:v>
                </c:pt>
                <c:pt idx="1">
                  <c:v>6</c:v>
                </c:pt>
                <c:pt idx="2">
                  <c:v>11</c:v>
                </c:pt>
                <c:pt idx="3">
                  <c:v>13</c:v>
                </c:pt>
                <c:pt idx="4">
                  <c:v>16</c:v>
                </c:pt>
                <c:pt idx="5">
                  <c:v>11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22-49B7-A298-51B78DCDF76F}"/>
            </c:ext>
          </c:extLst>
        </c:ser>
        <c:ser>
          <c:idx val="3"/>
          <c:order val="3"/>
          <c:tx>
            <c:strRef>
              <c:f>'Delitos por día de la semana'!$E$1:$E$2</c:f>
              <c:strCache>
                <c:ptCount val="1"/>
                <c:pt idx="0">
                  <c:v>Fraude</c:v>
                </c:pt>
              </c:strCache>
            </c:strRef>
          </c:tx>
          <c:spPr>
            <a:solidFill>
              <a:schemeClr val="accent2">
                <a:shade val="7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semana'!$E$3:$E$11</c:f>
              <c:numCache>
                <c:formatCode>General</c:formatCode>
                <c:ptCount val="8"/>
                <c:pt idx="0">
                  <c:v>11</c:v>
                </c:pt>
                <c:pt idx="1">
                  <c:v>10</c:v>
                </c:pt>
                <c:pt idx="2">
                  <c:v>10</c:v>
                </c:pt>
                <c:pt idx="3">
                  <c:v>9</c:v>
                </c:pt>
                <c:pt idx="4">
                  <c:v>12</c:v>
                </c:pt>
                <c:pt idx="5">
                  <c:v>11</c:v>
                </c:pt>
                <c:pt idx="6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22-49B7-A298-51B78DCDF76F}"/>
            </c:ext>
          </c:extLst>
        </c:ser>
        <c:ser>
          <c:idx val="4"/>
          <c:order val="4"/>
          <c:tx>
            <c:strRef>
              <c:f>'Delitos por día de la semana'!$F$1:$F$2</c:f>
              <c:strCache>
                <c:ptCount val="1"/>
                <c:pt idx="0">
                  <c:v>Homicidio</c:v>
                </c:pt>
              </c:strCache>
            </c:strRef>
          </c:tx>
          <c:spPr>
            <a:solidFill>
              <a:schemeClr val="accent2">
                <a:shade val="8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semana'!$F$3:$F$11</c:f>
              <c:numCache>
                <c:formatCode>General</c:formatCode>
                <c:ptCount val="8"/>
                <c:pt idx="0">
                  <c:v>5</c:v>
                </c:pt>
                <c:pt idx="1">
                  <c:v>14</c:v>
                </c:pt>
                <c:pt idx="2">
                  <c:v>12</c:v>
                </c:pt>
                <c:pt idx="3">
                  <c:v>13</c:v>
                </c:pt>
                <c:pt idx="4">
                  <c:v>11</c:v>
                </c:pt>
                <c:pt idx="5">
                  <c:v>10</c:v>
                </c:pt>
                <c:pt idx="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22-49B7-A298-51B78DCDF76F}"/>
            </c:ext>
          </c:extLst>
        </c:ser>
        <c:ser>
          <c:idx val="5"/>
          <c:order val="5"/>
          <c:tx>
            <c:strRef>
              <c:f>'Delitos por día de la semana'!$G$1:$G$2</c:f>
              <c:strCache>
                <c:ptCount val="1"/>
                <c:pt idx="0">
                  <c:v>Hurto</c:v>
                </c:pt>
              </c:strCache>
            </c:strRef>
          </c:tx>
          <c:spPr>
            <a:solidFill>
              <a:schemeClr val="accent2">
                <a:shade val="9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semana'!$G$3:$G$11</c:f>
              <c:numCache>
                <c:formatCode>General</c:formatCode>
                <c:ptCount val="8"/>
                <c:pt idx="0">
                  <c:v>16</c:v>
                </c:pt>
                <c:pt idx="1">
                  <c:v>13</c:v>
                </c:pt>
                <c:pt idx="2">
                  <c:v>15</c:v>
                </c:pt>
                <c:pt idx="3">
                  <c:v>13</c:v>
                </c:pt>
                <c:pt idx="4">
                  <c:v>8</c:v>
                </c:pt>
                <c:pt idx="5">
                  <c:v>14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22-49B7-A298-51B78DCDF76F}"/>
            </c:ext>
          </c:extLst>
        </c:ser>
        <c:ser>
          <c:idx val="8"/>
          <c:order val="6"/>
          <c:tx>
            <c:strRef>
              <c:f>'Delitos por día de la semana'!$H$1:$H$2</c:f>
              <c:strCache>
                <c:ptCount val="1"/>
                <c:pt idx="0">
                  <c:v>Narcotráfico</c:v>
                </c:pt>
              </c:strCache>
            </c:strRef>
          </c:tx>
          <c:spPr>
            <a:solidFill>
              <a:schemeClr val="accent2">
                <a:tint val="8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semana'!$H$3:$H$11</c:f>
              <c:numCache>
                <c:formatCode>General</c:formatCode>
                <c:ptCount val="8"/>
                <c:pt idx="0">
                  <c:v>13</c:v>
                </c:pt>
                <c:pt idx="1">
                  <c:v>15</c:v>
                </c:pt>
                <c:pt idx="2">
                  <c:v>13</c:v>
                </c:pt>
                <c:pt idx="3">
                  <c:v>20</c:v>
                </c:pt>
                <c:pt idx="4">
                  <c:v>17</c:v>
                </c:pt>
                <c:pt idx="5">
                  <c:v>16</c:v>
                </c:pt>
                <c:pt idx="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A22-49B7-A298-51B78DCDF76F}"/>
            </c:ext>
          </c:extLst>
        </c:ser>
        <c:ser>
          <c:idx val="9"/>
          <c:order val="7"/>
          <c:tx>
            <c:strRef>
              <c:f>'Delitos por día de la semana'!$I$1:$I$2</c:f>
              <c:strCache>
                <c:ptCount val="1"/>
                <c:pt idx="0">
                  <c:v>Robo</c:v>
                </c:pt>
              </c:strCache>
            </c:strRef>
          </c:tx>
          <c:spPr>
            <a:solidFill>
              <a:schemeClr val="accent2">
                <a:tint val="7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semana'!$I$3:$I$11</c:f>
              <c:numCache>
                <c:formatCode>General</c:formatCode>
                <c:ptCount val="8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12</c:v>
                </c:pt>
                <c:pt idx="4">
                  <c:v>17</c:v>
                </c:pt>
                <c:pt idx="5">
                  <c:v>14</c:v>
                </c:pt>
                <c:pt idx="6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A22-49B7-A298-51B78DCDF76F}"/>
            </c:ext>
          </c:extLst>
        </c:ser>
        <c:ser>
          <c:idx val="10"/>
          <c:order val="8"/>
          <c:tx>
            <c:strRef>
              <c:f>'Delitos por día de la semana'!$J$1:$J$2</c:f>
              <c:strCache>
                <c:ptCount val="1"/>
                <c:pt idx="0">
                  <c:v>Secuestro</c:v>
                </c:pt>
              </c:strCache>
            </c:strRef>
          </c:tx>
          <c:spPr>
            <a:solidFill>
              <a:schemeClr val="accent2">
                <a:tint val="6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semana'!$J$3:$J$11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15</c:v>
                </c:pt>
                <c:pt idx="3">
                  <c:v>9</c:v>
                </c:pt>
                <c:pt idx="4">
                  <c:v>16</c:v>
                </c:pt>
                <c:pt idx="5">
                  <c:v>15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22-49B7-A298-51B78DCDF76F}"/>
            </c:ext>
          </c:extLst>
        </c:ser>
        <c:ser>
          <c:idx val="11"/>
          <c:order val="9"/>
          <c:tx>
            <c:strRef>
              <c:f>'Delitos por día de la semana'!$K$1:$K$2</c:f>
              <c:strCache>
                <c:ptCount val="1"/>
                <c:pt idx="0">
                  <c:v>Vandalismo</c:v>
                </c:pt>
              </c:strCache>
            </c:strRef>
          </c:tx>
          <c:spPr>
            <a:solidFill>
              <a:schemeClr val="accent2">
                <a:tint val="50000"/>
              </a:schemeClr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semana'!$K$3:$K$11</c:f>
              <c:numCache>
                <c:formatCode>General</c:formatCode>
                <c:ptCount val="8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8</c:v>
                </c:pt>
                <c:pt idx="4">
                  <c:v>17</c:v>
                </c:pt>
                <c:pt idx="5">
                  <c:v>8</c:v>
                </c:pt>
                <c:pt idx="6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A22-49B7-A298-51B78DCDF76F}"/>
            </c:ext>
          </c:extLst>
        </c:ser>
        <c:ser>
          <c:idx val="6"/>
          <c:order val="10"/>
          <c:tx>
            <c:strRef>
              <c:f>'Delitos por día de la semana'!$L$1:$L$2</c:f>
              <c:strCache>
                <c:ptCount val="1"/>
                <c:pt idx="0">
                  <c:v>Violación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semana'!$L$3:$L$11</c:f>
              <c:numCache>
                <c:formatCode>General</c:formatCode>
                <c:ptCount val="8"/>
                <c:pt idx="0">
                  <c:v>15</c:v>
                </c:pt>
                <c:pt idx="1">
                  <c:v>12</c:v>
                </c:pt>
                <c:pt idx="2">
                  <c:v>13</c:v>
                </c:pt>
                <c:pt idx="3">
                  <c:v>11</c:v>
                </c:pt>
                <c:pt idx="4">
                  <c:v>11</c:v>
                </c:pt>
                <c:pt idx="5">
                  <c:v>15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A22-49B7-A298-51B78DCDF76F}"/>
            </c:ext>
          </c:extLst>
        </c:ser>
        <c:ser>
          <c:idx val="7"/>
          <c:order val="11"/>
          <c:tx>
            <c:strRef>
              <c:f>'Delitos por día de la semana'!$M$1:$M$2</c:f>
              <c:strCache>
                <c:ptCount val="1"/>
                <c:pt idx="0">
                  <c:v>Violencia de género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semana'!$M$3:$M$11</c:f>
              <c:numCache>
                <c:formatCode>General</c:formatCode>
                <c:ptCount val="8"/>
                <c:pt idx="0">
                  <c:v>4</c:v>
                </c:pt>
                <c:pt idx="1">
                  <c:v>11</c:v>
                </c:pt>
                <c:pt idx="2">
                  <c:v>21</c:v>
                </c:pt>
                <c:pt idx="3">
                  <c:v>10</c:v>
                </c:pt>
                <c:pt idx="4">
                  <c:v>8</c:v>
                </c:pt>
                <c:pt idx="5">
                  <c:v>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22-49B7-A298-51B78DCDF76F}"/>
            </c:ext>
          </c:extLst>
        </c:ser>
        <c:ser>
          <c:idx val="12"/>
          <c:order val="12"/>
          <c:tx>
            <c:strRef>
              <c:f>'Delitos por día de la semana'!$N$1:$N$2</c:f>
              <c:strCache>
                <c:ptCount val="1"/>
                <c:pt idx="0">
                  <c:v>(en blanco)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 w="25400">
              <a:noFill/>
            </a:ln>
            <a:effectLst/>
          </c:spPr>
          <c:cat>
            <c:strRef>
              <c:f>'Delitos por día de la semana'!$A$3:$A$11</c:f>
              <c:strCache>
                <c:ptCount val="8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  <c:pt idx="7">
                  <c:v>(en blanco)</c:v>
                </c:pt>
              </c:strCache>
            </c:strRef>
          </c:cat>
          <c:val>
            <c:numRef>
              <c:f>'Delitos por día de la semana'!$N$3:$N$11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D-8A22-49B7-A298-51B78DCDF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85551"/>
        <c:axId val="231078063"/>
      </c:areaChart>
      <c:catAx>
        <c:axId val="231085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1078063"/>
        <c:crosses val="autoZero"/>
        <c:auto val="1"/>
        <c:lblAlgn val="ctr"/>
        <c:lblOffset val="100"/>
        <c:noMultiLvlLbl val="0"/>
      </c:catAx>
      <c:valAx>
        <c:axId val="23107806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1085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2.jpeg"/><Relationship Id="rId1" Type="http://schemas.openxmlformats.org/officeDocument/2006/relationships/chart" Target="../charts/chart1.xml"/><Relationship Id="rId4" Type="http://schemas.openxmlformats.org/officeDocument/2006/relationships/image" Target="../media/image2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24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svg"/><Relationship Id="rId2" Type="http://schemas.openxmlformats.org/officeDocument/2006/relationships/image" Target="../media/image25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chart" Target="../charts/chart7.xml"/><Relationship Id="rId18" Type="http://schemas.openxmlformats.org/officeDocument/2006/relationships/image" Target="../media/image31.png"/><Relationship Id="rId26" Type="http://schemas.openxmlformats.org/officeDocument/2006/relationships/image" Target="../media/image24.jpeg"/><Relationship Id="rId3" Type="http://schemas.openxmlformats.org/officeDocument/2006/relationships/image" Target="../media/image15.png"/><Relationship Id="rId21" Type="http://schemas.openxmlformats.org/officeDocument/2006/relationships/image" Target="../media/image32.jpeg"/><Relationship Id="rId7" Type="http://schemas.openxmlformats.org/officeDocument/2006/relationships/image" Target="../media/image19.png"/><Relationship Id="rId12" Type="http://schemas.openxmlformats.org/officeDocument/2006/relationships/chart" Target="../charts/chart6.xml"/><Relationship Id="rId17" Type="http://schemas.openxmlformats.org/officeDocument/2006/relationships/chart" Target="../charts/chart8.xml"/><Relationship Id="rId25" Type="http://schemas.openxmlformats.org/officeDocument/2006/relationships/chart" Target="../charts/chart13.xml"/><Relationship Id="rId2" Type="http://schemas.openxmlformats.org/officeDocument/2006/relationships/image" Target="../media/image14.png"/><Relationship Id="rId16" Type="http://schemas.openxmlformats.org/officeDocument/2006/relationships/image" Target="../media/image30.png"/><Relationship Id="rId20" Type="http://schemas.openxmlformats.org/officeDocument/2006/relationships/chart" Target="../charts/chart10.xml"/><Relationship Id="rId29" Type="http://schemas.openxmlformats.org/officeDocument/2006/relationships/image" Target="../media/image26.svg"/><Relationship Id="rId1" Type="http://schemas.openxmlformats.org/officeDocument/2006/relationships/image" Target="../media/image27.png"/><Relationship Id="rId6" Type="http://schemas.openxmlformats.org/officeDocument/2006/relationships/image" Target="../media/image18.png"/><Relationship Id="rId11" Type="http://schemas.openxmlformats.org/officeDocument/2006/relationships/chart" Target="../charts/chart5.xml"/><Relationship Id="rId24" Type="http://schemas.openxmlformats.org/officeDocument/2006/relationships/chart" Target="../charts/chart12.xml"/><Relationship Id="rId5" Type="http://schemas.openxmlformats.org/officeDocument/2006/relationships/image" Target="../media/image17.png"/><Relationship Id="rId15" Type="http://schemas.openxmlformats.org/officeDocument/2006/relationships/image" Target="../media/image29.png"/><Relationship Id="rId23" Type="http://schemas.openxmlformats.org/officeDocument/2006/relationships/image" Target="../media/image23.jpeg"/><Relationship Id="rId28" Type="http://schemas.openxmlformats.org/officeDocument/2006/relationships/image" Target="../media/image25.png"/><Relationship Id="rId10" Type="http://schemas.openxmlformats.org/officeDocument/2006/relationships/image" Target="../media/image28.png"/><Relationship Id="rId19" Type="http://schemas.openxmlformats.org/officeDocument/2006/relationships/chart" Target="../charts/chart9.xml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13.png"/><Relationship Id="rId22" Type="http://schemas.openxmlformats.org/officeDocument/2006/relationships/chart" Target="../charts/chart11.xml"/><Relationship Id="rId27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752475</xdr:colOff>
      <xdr:row>2</xdr:row>
      <xdr:rowOff>142725</xdr:rowOff>
    </xdr:from>
    <xdr:to>
      <xdr:col>2</xdr:col>
      <xdr:colOff>133500</xdr:colOff>
      <xdr:row>4</xdr:row>
      <xdr:rowOff>66675</xdr:rowOff>
    </xdr:to>
    <xdr:pic>
      <xdr:nvPicPr>
        <xdr:cNvPr id="3" name="Gráfico 2" descr="Lupa con rellen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52475" y="523725"/>
          <a:ext cx="324000" cy="324000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12</xdr:row>
      <xdr:rowOff>133350</xdr:rowOff>
    </xdr:from>
    <xdr:to>
      <xdr:col>2</xdr:col>
      <xdr:colOff>152400</xdr:colOff>
      <xdr:row>14</xdr:row>
      <xdr:rowOff>57150</xdr:rowOff>
    </xdr:to>
    <xdr:pic>
      <xdr:nvPicPr>
        <xdr:cNvPr id="5" name="Gráfico 4" descr="Gráfico de barras con relleno sólid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1525" y="2419350"/>
          <a:ext cx="323850" cy="3238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36</xdr:row>
      <xdr:rowOff>9525</xdr:rowOff>
    </xdr:from>
    <xdr:to>
      <xdr:col>2</xdr:col>
      <xdr:colOff>143025</xdr:colOff>
      <xdr:row>37</xdr:row>
      <xdr:rowOff>38250</xdr:rowOff>
    </xdr:to>
    <xdr:pic>
      <xdr:nvPicPr>
        <xdr:cNvPr id="8" name="Gráfico 7" descr="Anclar con relleno sóli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000" y="7210425"/>
          <a:ext cx="324000" cy="324000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50</xdr:row>
      <xdr:rowOff>123825</xdr:rowOff>
    </xdr:from>
    <xdr:to>
      <xdr:col>2</xdr:col>
      <xdr:colOff>152550</xdr:colOff>
      <xdr:row>52</xdr:row>
      <xdr:rowOff>47775</xdr:rowOff>
    </xdr:to>
    <xdr:pic>
      <xdr:nvPicPr>
        <xdr:cNvPr id="11" name="Gráfico 10" descr="Diana con relleno sólid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71525" y="10096500"/>
          <a:ext cx="324000" cy="324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66</xdr:row>
      <xdr:rowOff>114300</xdr:rowOff>
    </xdr:from>
    <xdr:to>
      <xdr:col>2</xdr:col>
      <xdr:colOff>143025</xdr:colOff>
      <xdr:row>68</xdr:row>
      <xdr:rowOff>38250</xdr:rowOff>
    </xdr:to>
    <xdr:pic>
      <xdr:nvPicPr>
        <xdr:cNvPr id="14" name="Gráfico 13" descr="Cabeza con engranajes con relleno sólid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62000" y="13592175"/>
          <a:ext cx="324000" cy="32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4</xdr:row>
      <xdr:rowOff>142875</xdr:rowOff>
    </xdr:from>
    <xdr:to>
      <xdr:col>1</xdr:col>
      <xdr:colOff>524025</xdr:colOff>
      <xdr:row>6</xdr:row>
      <xdr:rowOff>57300</xdr:rowOff>
    </xdr:to>
    <xdr:pic>
      <xdr:nvPicPr>
        <xdr:cNvPr id="3" name="Gráfico 2" descr="Bombilla con relleno sóli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5" y="904875"/>
          <a:ext cx="324000" cy="32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32</xdr:row>
      <xdr:rowOff>19050</xdr:rowOff>
    </xdr:from>
    <xdr:to>
      <xdr:col>4</xdr:col>
      <xdr:colOff>228211</xdr:colOff>
      <xdr:row>47</xdr:row>
      <xdr:rowOff>47264</xdr:rowOff>
    </xdr:to>
    <xdr:pic>
      <xdr:nvPicPr>
        <xdr:cNvPr id="17" name="Imagen1" hidden="1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115050"/>
          <a:ext cx="3114286" cy="2885714"/>
        </a:xfrm>
        <a:prstGeom prst="rect">
          <a:avLst/>
        </a:prstGeom>
      </xdr:spPr>
    </xdr:pic>
    <xdr:clientData/>
  </xdr:twoCellAnchor>
  <xdr:twoCellAnchor editAs="oneCell">
    <xdr:from>
      <xdr:col>5</xdr:col>
      <xdr:colOff>7125</xdr:colOff>
      <xdr:row>32</xdr:row>
      <xdr:rowOff>16650</xdr:rowOff>
    </xdr:from>
    <xdr:to>
      <xdr:col>10</xdr:col>
      <xdr:colOff>311558</xdr:colOff>
      <xdr:row>47</xdr:row>
      <xdr:rowOff>25817</xdr:rowOff>
    </xdr:to>
    <xdr:pic>
      <xdr:nvPicPr>
        <xdr:cNvPr id="19" name="Imagen2" hidden="1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4225" y="6112650"/>
          <a:ext cx="2933333" cy="2866667"/>
        </a:xfrm>
        <a:prstGeom prst="rect">
          <a:avLst/>
        </a:prstGeom>
      </xdr:spPr>
    </xdr:pic>
    <xdr:clientData/>
  </xdr:twoCellAnchor>
  <xdr:twoCellAnchor editAs="oneCell">
    <xdr:from>
      <xdr:col>9</xdr:col>
      <xdr:colOff>423825</xdr:colOff>
      <xdr:row>32</xdr:row>
      <xdr:rowOff>23775</xdr:rowOff>
    </xdr:from>
    <xdr:to>
      <xdr:col>14</xdr:col>
      <xdr:colOff>23399</xdr:colOff>
      <xdr:row>47</xdr:row>
      <xdr:rowOff>71037</xdr:rowOff>
    </xdr:to>
    <xdr:pic>
      <xdr:nvPicPr>
        <xdr:cNvPr id="21" name="Imagen3" hidden="1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2725" y="6119775"/>
          <a:ext cx="3009524" cy="2904762"/>
        </a:xfrm>
        <a:prstGeom prst="rect">
          <a:avLst/>
        </a:prstGeom>
      </xdr:spPr>
    </xdr:pic>
    <xdr:clientData/>
  </xdr:twoCellAnchor>
  <xdr:twoCellAnchor editAs="oneCell">
    <xdr:from>
      <xdr:col>14</xdr:col>
      <xdr:colOff>11850</xdr:colOff>
      <xdr:row>32</xdr:row>
      <xdr:rowOff>2325</xdr:rowOff>
    </xdr:from>
    <xdr:to>
      <xdr:col>16</xdr:col>
      <xdr:colOff>1411650</xdr:colOff>
      <xdr:row>47</xdr:row>
      <xdr:rowOff>11492</xdr:rowOff>
    </xdr:to>
    <xdr:pic>
      <xdr:nvPicPr>
        <xdr:cNvPr id="23" name="Imagen4" hidden="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75025" y="6098325"/>
          <a:ext cx="3000000" cy="2866667"/>
        </a:xfrm>
        <a:prstGeom prst="rect">
          <a:avLst/>
        </a:prstGeom>
      </xdr:spPr>
    </xdr:pic>
    <xdr:clientData/>
  </xdr:twoCellAnchor>
  <xdr:twoCellAnchor editAs="oneCell">
    <xdr:from>
      <xdr:col>21</xdr:col>
      <xdr:colOff>219000</xdr:colOff>
      <xdr:row>32</xdr:row>
      <xdr:rowOff>9450</xdr:rowOff>
    </xdr:from>
    <xdr:to>
      <xdr:col>28</xdr:col>
      <xdr:colOff>790131</xdr:colOff>
      <xdr:row>46</xdr:row>
      <xdr:rowOff>180545</xdr:rowOff>
    </xdr:to>
    <xdr:pic>
      <xdr:nvPicPr>
        <xdr:cNvPr id="25" name="Imagen5" hidden="1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01625" y="6105450"/>
          <a:ext cx="2952381" cy="28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26100</xdr:colOff>
      <xdr:row>48</xdr:row>
      <xdr:rowOff>188025</xdr:rowOff>
    </xdr:from>
    <xdr:to>
      <xdr:col>4</xdr:col>
      <xdr:colOff>82879</xdr:colOff>
      <xdr:row>63</xdr:row>
      <xdr:rowOff>178144</xdr:rowOff>
    </xdr:to>
    <xdr:pic>
      <xdr:nvPicPr>
        <xdr:cNvPr id="27" name="Imagen6" hidden="1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00" y="9332025"/>
          <a:ext cx="2971429" cy="2847619"/>
        </a:xfrm>
        <a:prstGeom prst="rect">
          <a:avLst/>
        </a:prstGeom>
      </xdr:spPr>
    </xdr:pic>
    <xdr:clientData/>
  </xdr:twoCellAnchor>
  <xdr:twoCellAnchor editAs="oneCell">
    <xdr:from>
      <xdr:col>5</xdr:col>
      <xdr:colOff>14175</xdr:colOff>
      <xdr:row>49</xdr:row>
      <xdr:rowOff>4650</xdr:rowOff>
    </xdr:from>
    <xdr:to>
      <xdr:col>10</xdr:col>
      <xdr:colOff>385275</xdr:colOff>
      <xdr:row>63</xdr:row>
      <xdr:rowOff>185269</xdr:rowOff>
    </xdr:to>
    <xdr:pic>
      <xdr:nvPicPr>
        <xdr:cNvPr id="29" name="Imagen7" hidden="1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1275" y="9339150"/>
          <a:ext cx="3000000" cy="2847619"/>
        </a:xfrm>
        <a:prstGeom prst="rect">
          <a:avLst/>
        </a:prstGeom>
      </xdr:spPr>
    </xdr:pic>
    <xdr:clientData/>
  </xdr:twoCellAnchor>
  <xdr:twoCellAnchor editAs="oneCell">
    <xdr:from>
      <xdr:col>9</xdr:col>
      <xdr:colOff>411825</xdr:colOff>
      <xdr:row>49</xdr:row>
      <xdr:rowOff>11775</xdr:rowOff>
    </xdr:from>
    <xdr:to>
      <xdr:col>13</xdr:col>
      <xdr:colOff>801980</xdr:colOff>
      <xdr:row>63</xdr:row>
      <xdr:rowOff>182870</xdr:rowOff>
    </xdr:to>
    <xdr:pic>
      <xdr:nvPicPr>
        <xdr:cNvPr id="31" name="Imagen8" hidden="1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0725" y="9346275"/>
          <a:ext cx="2961905" cy="2838095"/>
        </a:xfrm>
        <a:prstGeom prst="rect">
          <a:avLst/>
        </a:prstGeom>
      </xdr:spPr>
    </xdr:pic>
    <xdr:clientData/>
  </xdr:twoCellAnchor>
  <xdr:twoCellAnchor editAs="oneCell">
    <xdr:from>
      <xdr:col>14</xdr:col>
      <xdr:colOff>18900</xdr:colOff>
      <xdr:row>48</xdr:row>
      <xdr:rowOff>190350</xdr:rowOff>
    </xdr:from>
    <xdr:to>
      <xdr:col>16</xdr:col>
      <xdr:colOff>1371081</xdr:colOff>
      <xdr:row>63</xdr:row>
      <xdr:rowOff>180469</xdr:rowOff>
    </xdr:to>
    <xdr:pic>
      <xdr:nvPicPr>
        <xdr:cNvPr id="33" name="Imagen9" hidden="1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075" y="9334350"/>
          <a:ext cx="2952381" cy="28476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457200</xdr:colOff>
      <xdr:row>24</xdr:row>
      <xdr:rowOff>123825</xdr:rowOff>
    </xdr:from>
    <xdr:to>
      <xdr:col>23</xdr:col>
      <xdr:colOff>176887</xdr:colOff>
      <xdr:row>30</xdr:row>
      <xdr:rowOff>133350</xdr:rowOff>
    </xdr:to>
    <xdr:grpSp>
      <xdr:nvGrpSpPr>
        <xdr:cNvPr id="82" name="Grup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pSpPr/>
      </xdr:nvGrpSpPr>
      <xdr:grpSpPr>
        <a:xfrm>
          <a:off x="12563475" y="4695825"/>
          <a:ext cx="2767687" cy="1152525"/>
          <a:chOff x="12630150" y="4724400"/>
          <a:chExt cx="2767687" cy="1152525"/>
        </a:xfrm>
      </xdr:grpSpPr>
      <xdr:sp macro="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12630150" y="4724400"/>
            <a:ext cx="2700000" cy="1152525"/>
          </a:xfrm>
          <a:prstGeom prst="roundRect">
            <a:avLst>
              <a:gd name="adj" fmla="val 10735"/>
            </a:avLst>
          </a:prstGeom>
          <a:solidFill>
            <a:schemeClr val="bg1"/>
          </a:solidFill>
          <a:ln>
            <a:solidFill>
              <a:srgbClr val="B2B2B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GraphicFramePr/>
        </xdr:nvGraphicFramePr>
        <xdr:xfrm>
          <a:off x="12690231" y="4962525"/>
          <a:ext cx="2623039" cy="8719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 txBox="1"/>
        </xdr:nvSpPr>
        <xdr:spPr>
          <a:xfrm>
            <a:off x="12706350" y="4724400"/>
            <a:ext cx="1547988" cy="2799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AR" sz="1100" b="1">
                <a:solidFill>
                  <a:srgbClr val="32323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Arrestos con drogas:</a:t>
            </a:r>
            <a:endParaRPr lang="es-AR" sz="1100" b="1" baseline="0">
              <a:solidFill>
                <a:srgbClr val="32323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5" name="Imagen 14" descr="drogas vector ilustración en garabatear estilo aislado en blanco  antecedentes 20398613 Vector en Vecteezy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142" t="23659" r="14827" b="30915"/>
          <a:stretch/>
        </xdr:blipFill>
        <xdr:spPr bwMode="auto">
          <a:xfrm>
            <a:off x="14782799" y="4791075"/>
            <a:ext cx="497285" cy="32256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uadroTexto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 txBox="1"/>
        </xdr:nvSpPr>
        <xdr:spPr>
          <a:xfrm>
            <a:off x="12706350" y="5562600"/>
            <a:ext cx="2031903" cy="2714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AR" sz="1050" b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Variación</a:t>
            </a:r>
            <a:r>
              <a:rPr lang="es-AR" sz="1050" b="0" baseline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% promedio por año:</a:t>
            </a:r>
          </a:p>
        </xdr:txBody>
      </xdr:sp>
      <xdr:sp macro="" textlink="$A$31">
        <xdr:nvSpPr>
          <xdr:cNvPr id="21" name="CuadroTexto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 txBox="1"/>
        </xdr:nvSpPr>
        <xdr:spPr>
          <a:xfrm>
            <a:off x="14678025" y="5562600"/>
            <a:ext cx="719812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F7C579D-C4E7-426F-86BC-3C7A04A83303}" type="TxLink">
              <a:rPr lang="en-US" sz="12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/>
              <a:t>15%</a:t>
            </a:fld>
            <a:endParaRPr lang="es-AR" sz="1200">
              <a:solidFill>
                <a:srgbClr val="FF0000"/>
              </a:solidFill>
            </a:endParaRPr>
          </a:p>
        </xdr:txBody>
      </xdr:sp>
      <xdr:sp macro="" textlink="">
        <xdr:nvSpPr>
          <xdr:cNvPr id="22" name="Flecha: hacia arriba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/>
        </xdr:nvSpPr>
        <xdr:spPr>
          <a:xfrm>
            <a:off x="15087599" y="5638800"/>
            <a:ext cx="76201" cy="121158"/>
          </a:xfrm>
          <a:prstGeom prst="up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 txBox="1"/>
        </xdr:nvSpPr>
        <xdr:spPr>
          <a:xfrm>
            <a:off x="12706350" y="5381625"/>
            <a:ext cx="2106987" cy="2714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AR" sz="1050" b="0" baseline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% del total de arrestos efectivos:</a:t>
            </a:r>
          </a:p>
        </xdr:txBody>
      </xdr:sp>
      <xdr:sp macro="" textlink="$B$34">
        <xdr:nvSpPr>
          <xdr:cNvPr id="24" name="CuadroTexto 23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 txBox="1"/>
        </xdr:nvSpPr>
        <xdr:spPr>
          <a:xfrm>
            <a:off x="14668500" y="5362575"/>
            <a:ext cx="64498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1602F99C-92C8-4C83-9C34-BCE48F64BBB0}" type="TxLink">
              <a:rPr lang="en-US" sz="1200" b="0" i="0" u="none" strike="noStrike">
                <a:solidFill>
                  <a:srgbClr val="FF0000"/>
                </a:solidFill>
                <a:latin typeface="+mn-lt"/>
                <a:cs typeface="Segoe UI" panose="020B0502040204020203" pitchFamily="34" charset="0"/>
              </a:rPr>
              <a:pPr/>
              <a:t>12,74%</a:t>
            </a:fld>
            <a:endParaRPr lang="es-AR" sz="1400" b="0">
              <a:solidFill>
                <a:srgbClr val="FF0000"/>
              </a:solidFill>
              <a:latin typeface="+mn-lt"/>
              <a:cs typeface="Segoe UI" panose="020B0502040204020203" pitchFamily="34" charset="0"/>
            </a:endParaRPr>
          </a:p>
        </xdr:txBody>
      </xdr:sp>
      <xdr:sp macro="" textlink="$J$17">
        <xdr:nvSpPr>
          <xdr:cNvPr id="19" name="CuadroTexto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 txBox="1"/>
        </xdr:nvSpPr>
        <xdr:spPr>
          <a:xfrm>
            <a:off x="12773025" y="4991100"/>
            <a:ext cx="2552700" cy="3905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EA216323-2BA9-45D3-B59E-B93289A8A803}" type="TxLink">
              <a:rPr lang="en-US" sz="3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122</a:t>
            </a:fld>
            <a:endParaRPr lang="es-AR" sz="4000" b="0" baseline="0">
              <a:solidFill>
                <a:srgbClr val="32323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15</xdr:col>
      <xdr:colOff>582489</xdr:colOff>
      <xdr:row>24</xdr:row>
      <xdr:rowOff>131051</xdr:rowOff>
    </xdr:from>
    <xdr:to>
      <xdr:col>19</xdr:col>
      <xdr:colOff>156674</xdr:colOff>
      <xdr:row>30</xdr:row>
      <xdr:rowOff>140576</xdr:rowOff>
    </xdr:to>
    <xdr:grpSp>
      <xdr:nvGrpSpPr>
        <xdr:cNvPr id="81" name="Grup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GrpSpPr/>
      </xdr:nvGrpSpPr>
      <xdr:grpSpPr>
        <a:xfrm>
          <a:off x="9564564" y="4703051"/>
          <a:ext cx="2698385" cy="1152525"/>
          <a:chOff x="9440739" y="5693651"/>
          <a:chExt cx="2698385" cy="1152525"/>
        </a:xfrm>
      </xdr:grpSpPr>
      <xdr:sp macro="" textlink="">
        <xdr:nvSpPr>
          <xdr:cNvPr id="27" name="Rectángulo: esquinas redondeadas 26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9440739" y="5693651"/>
            <a:ext cx="2683423" cy="1152525"/>
          </a:xfrm>
          <a:prstGeom prst="roundRect">
            <a:avLst>
              <a:gd name="adj" fmla="val 10735"/>
            </a:avLst>
          </a:prstGeom>
          <a:solidFill>
            <a:schemeClr val="bg1"/>
          </a:solidFill>
          <a:ln>
            <a:solidFill>
              <a:srgbClr val="B2B2B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aphicFrame macro="">
        <xdr:nvGraphicFramePr>
          <xdr:cNvPr id="36" name="Gráfico 35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GraphicFramePr/>
        </xdr:nvGraphicFramePr>
        <xdr:xfrm>
          <a:off x="9474476" y="5946912"/>
          <a:ext cx="2627244" cy="8531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 txBox="1"/>
        </xdr:nvSpPr>
        <xdr:spPr>
          <a:xfrm>
            <a:off x="9450264" y="5703176"/>
            <a:ext cx="1574214" cy="2799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AR" sz="1100" b="1">
                <a:solidFill>
                  <a:srgbClr val="32323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Arrestos con alcohol:</a:t>
            </a:r>
            <a:endParaRPr lang="es-AR" sz="1100" b="1" baseline="0">
              <a:solidFill>
                <a:srgbClr val="32323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30" name="CuadroTexto 29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SpPr txBox="1"/>
        </xdr:nvSpPr>
        <xdr:spPr>
          <a:xfrm>
            <a:off x="9450264" y="6541376"/>
            <a:ext cx="2031903" cy="2714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AR" sz="1050" b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Variación</a:t>
            </a:r>
            <a:r>
              <a:rPr lang="es-AR" sz="1050" b="0" baseline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% promedio por año:</a:t>
            </a:r>
          </a:p>
        </xdr:txBody>
      </xdr:sp>
      <xdr:sp macro="" textlink="$D$31">
        <xdr:nvSpPr>
          <xdr:cNvPr id="31" name="CuadroTexto 30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SpPr txBox="1"/>
        </xdr:nvSpPr>
        <xdr:spPr>
          <a:xfrm>
            <a:off x="11419312" y="6541376"/>
            <a:ext cx="719812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A6F3BA4F-EA05-4B92-8516-9493824C4382}" type="TxLink">
              <a:rPr lang="en-US" sz="12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/>
              <a:t>2%</a:t>
            </a:fld>
            <a:endParaRPr lang="es-AR" sz="1400">
              <a:solidFill>
                <a:srgbClr val="FF0000"/>
              </a:solidFill>
            </a:endParaRPr>
          </a:p>
        </xdr:txBody>
      </xdr:sp>
      <xdr:sp macro="" textlink="">
        <xdr:nvSpPr>
          <xdr:cNvPr id="32" name="Flecha: hacia arriba 31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SpPr/>
        </xdr:nvSpPr>
        <xdr:spPr>
          <a:xfrm>
            <a:off x="11737777" y="6609293"/>
            <a:ext cx="76201" cy="121158"/>
          </a:xfrm>
          <a:prstGeom prst="up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3" name="CuadroTexto 32">
            <a:extLst>
              <a:ext uri="{FF2B5EF4-FFF2-40B4-BE49-F238E27FC236}">
                <a16:creationId xmlns:a16="http://schemas.microsoft.com/office/drawing/2014/main" id="{00000000-0008-0000-0500-000021000000}"/>
              </a:ext>
            </a:extLst>
          </xdr:cNvPr>
          <xdr:cNvSpPr txBox="1"/>
        </xdr:nvSpPr>
        <xdr:spPr>
          <a:xfrm>
            <a:off x="9450264" y="6360401"/>
            <a:ext cx="2106987" cy="2714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AR" sz="1050" b="0" baseline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% del total de arrestos efectivos:</a:t>
            </a:r>
          </a:p>
        </xdr:txBody>
      </xdr:sp>
      <xdr:sp macro="" textlink="$F$34">
        <xdr:nvSpPr>
          <xdr:cNvPr id="34" name="CuadroText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 txBox="1"/>
        </xdr:nvSpPr>
        <xdr:spPr>
          <a:xfrm>
            <a:off x="11409787" y="6341351"/>
            <a:ext cx="56701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CF44457C-7800-4505-8BE4-DAA0018331B2}" type="TxLink">
              <a:rPr lang="en-US" sz="12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/>
              <a:t>7,59%</a:t>
            </a:fld>
            <a:endParaRPr lang="es-AR" sz="1600" b="0">
              <a:solidFill>
                <a:srgbClr val="FF0000"/>
              </a:solidFill>
              <a:latin typeface="+mn-lt"/>
              <a:cs typeface="Segoe UI" panose="020B0502040204020203" pitchFamily="34" charset="0"/>
            </a:endParaRPr>
          </a:p>
        </xdr:txBody>
      </xdr:sp>
      <xdr:sp macro="" textlink="$M$17">
        <xdr:nvSpPr>
          <xdr:cNvPr id="35" name="CuadroTexto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SpPr txBox="1"/>
        </xdr:nvSpPr>
        <xdr:spPr>
          <a:xfrm>
            <a:off x="9516939" y="5969876"/>
            <a:ext cx="2552700" cy="3905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71C41FBB-8A78-42A5-A8C4-8A5FD64A0470}" type="TxLink">
              <a:rPr lang="en-US" sz="3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71</a:t>
            </a:fld>
            <a:endParaRPr lang="es-AR" sz="3200" b="0" baseline="0">
              <a:solidFill>
                <a:srgbClr val="32323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37" name="Imagen 36" descr="624.800+ Alcohol Ilustraciones de Stock, gráficos vectoriales libres de  derechos y clip art - iStock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500" t="15833" r="15000" b="19166"/>
          <a:stretch/>
        </xdr:blipFill>
        <xdr:spPr bwMode="auto">
          <a:xfrm>
            <a:off x="11620500" y="5743575"/>
            <a:ext cx="390525" cy="37606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14</xdr:row>
      <xdr:rowOff>0</xdr:rowOff>
    </xdr:from>
    <xdr:to>
      <xdr:col>19</xdr:col>
      <xdr:colOff>397423</xdr:colOff>
      <xdr:row>20</xdr:row>
      <xdr:rowOff>9525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10506075" y="2667000"/>
          <a:ext cx="2683423" cy="1152525"/>
        </a:xfrm>
        <a:prstGeom prst="roundRect">
          <a:avLst>
            <a:gd name="adj" fmla="val 10735"/>
          </a:avLst>
        </a:prstGeom>
        <a:solidFill>
          <a:schemeClr val="bg1"/>
        </a:solidFill>
        <a:ln>
          <a:solidFill>
            <a:srgbClr val="B2B2B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16</xdr:col>
      <xdr:colOff>9525</xdr:colOff>
      <xdr:row>14</xdr:row>
      <xdr:rowOff>9525</xdr:rowOff>
    </xdr:from>
    <xdr:to>
      <xdr:col>18</xdr:col>
      <xdr:colOff>59739</xdr:colOff>
      <xdr:row>15</xdr:row>
      <xdr:rowOff>98973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10515600" y="2676525"/>
          <a:ext cx="1574214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AR" sz="1100" b="1">
              <a:solidFill>
                <a:srgbClr val="323232"/>
              </a:solidFill>
              <a:latin typeface="Segoe UI" panose="020B0502040204020203" pitchFamily="34" charset="0"/>
              <a:cs typeface="Segoe UI" panose="020B0502040204020203" pitchFamily="34" charset="0"/>
            </a:rPr>
            <a:t>Arrestos con armas:</a:t>
          </a:r>
          <a:endParaRPr lang="es-AR" sz="1100" b="1" baseline="0">
            <a:solidFill>
              <a:srgbClr val="323232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9525</xdr:colOff>
      <xdr:row>18</xdr:row>
      <xdr:rowOff>85725</xdr:rowOff>
    </xdr:from>
    <xdr:to>
      <xdr:col>18</xdr:col>
      <xdr:colOff>733425</xdr:colOff>
      <xdr:row>19</xdr:row>
      <xdr:rowOff>166646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9077325" y="3514725"/>
          <a:ext cx="2247900" cy="2714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AR" sz="1050" b="0" baseline="0">
              <a:solidFill>
                <a:srgbClr val="B2B2B2"/>
              </a:solidFill>
              <a:latin typeface="Segoe UI" panose="020B0502040204020203" pitchFamily="34" charset="0"/>
              <a:cs typeface="Segoe UI" panose="020B0502040204020203" pitchFamily="34" charset="0"/>
            </a:rPr>
            <a:t>Mayor ctdd. de atacantes usual:</a:t>
          </a:r>
        </a:p>
      </xdr:txBody>
    </xdr:sp>
    <xdr:clientData/>
  </xdr:twoCellAnchor>
  <xdr:twoCellAnchor>
    <xdr:from>
      <xdr:col>18</xdr:col>
      <xdr:colOff>435523</xdr:colOff>
      <xdr:row>18</xdr:row>
      <xdr:rowOff>95250</xdr:rowOff>
    </xdr:from>
    <xdr:to>
      <xdr:col>19</xdr:col>
      <xdr:colOff>46189</xdr:colOff>
      <xdr:row>19</xdr:row>
      <xdr:rowOff>184955</xdr:rowOff>
    </xdr:to>
    <xdr:sp macro="" textlink="$K$5">
      <xdr:nvSpPr>
        <xdr:cNvPr id="17" name="CuadroTexto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11027323" y="3524250"/>
          <a:ext cx="37266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23E236D0-C76D-4AD0-951C-25B242F6263E}" type="TxLink">
            <a:rPr lang="en-US" sz="11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4</a:t>
          </a:fld>
          <a:endParaRPr lang="es-A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9525</xdr:colOff>
      <xdr:row>17</xdr:row>
      <xdr:rowOff>95250</xdr:rowOff>
    </xdr:from>
    <xdr:to>
      <xdr:col>18</xdr:col>
      <xdr:colOff>592512</xdr:colOff>
      <xdr:row>18</xdr:row>
      <xdr:rowOff>176171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/>
      </xdr:nvSpPr>
      <xdr:spPr>
        <a:xfrm>
          <a:off x="10515600" y="3333750"/>
          <a:ext cx="2106987" cy="2714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AR" sz="1050" b="0" baseline="0">
              <a:solidFill>
                <a:srgbClr val="B2B2B2"/>
              </a:solidFill>
              <a:latin typeface="Segoe UI" panose="020B0502040204020203" pitchFamily="34" charset="0"/>
              <a:cs typeface="Segoe UI" panose="020B0502040204020203" pitchFamily="34" charset="0"/>
            </a:rPr>
            <a:t>% del total de arrestos efectivos:</a:t>
          </a:r>
        </a:p>
      </xdr:txBody>
    </xdr:sp>
    <xdr:clientData/>
  </xdr:twoCellAnchor>
  <xdr:twoCellAnchor>
    <xdr:from>
      <xdr:col>18</xdr:col>
      <xdr:colOff>445048</xdr:colOff>
      <xdr:row>17</xdr:row>
      <xdr:rowOff>104775</xdr:rowOff>
    </xdr:from>
    <xdr:to>
      <xdr:col>19</xdr:col>
      <xdr:colOff>250063</xdr:colOff>
      <xdr:row>19</xdr:row>
      <xdr:rowOff>3980</xdr:rowOff>
    </xdr:to>
    <xdr:sp macro="" textlink="$M$14">
      <xdr:nvSpPr>
        <xdr:cNvPr id="20" name="CuadroText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/>
      </xdr:nvSpPr>
      <xdr:spPr>
        <a:xfrm>
          <a:off x="11036848" y="3343275"/>
          <a:ext cx="56701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B03785D-C8C9-469C-8082-82DEDE856DF5}" type="TxLink">
            <a:rPr lang="en-US" sz="11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16%</a:t>
          </a:fld>
          <a:endParaRPr lang="es-AR" sz="1600" b="0">
            <a:solidFill>
              <a:srgbClr val="FF0000"/>
            </a:solidFill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76200</xdr:colOff>
      <xdr:row>15</xdr:row>
      <xdr:rowOff>85725</xdr:rowOff>
    </xdr:from>
    <xdr:to>
      <xdr:col>19</xdr:col>
      <xdr:colOff>342900</xdr:colOff>
      <xdr:row>17</xdr:row>
      <xdr:rowOff>95251</xdr:rowOff>
    </xdr:to>
    <xdr:sp macro="" textlink="$M$13">
      <xdr:nvSpPr>
        <xdr:cNvPr id="21" name="CuadroText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10582275" y="2943225"/>
          <a:ext cx="2552700" cy="3905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5B415D06-0C2F-46D7-B5CD-4FC51339BB26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80</a:t>
          </a:fld>
          <a:endParaRPr lang="es-AR" sz="3200" b="1" baseline="0">
            <a:solidFill>
              <a:srgbClr val="323232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18</xdr:col>
      <xdr:colOff>704850</xdr:colOff>
      <xdr:row>14</xdr:row>
      <xdr:rowOff>95250</xdr:rowOff>
    </xdr:from>
    <xdr:to>
      <xdr:col>19</xdr:col>
      <xdr:colOff>333375</xdr:colOff>
      <xdr:row>16</xdr:row>
      <xdr:rowOff>104775</xdr:rowOff>
    </xdr:to>
    <xdr:pic>
      <xdr:nvPicPr>
        <xdr:cNvPr id="23" name="Imagen 22" descr="Diseño de ilustración de armas de pistola | Vector Premium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58525" y="2762250"/>
          <a:ext cx="3905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38100</xdr:colOff>
      <xdr:row>15</xdr:row>
      <xdr:rowOff>47625</xdr:rowOff>
    </xdr:from>
    <xdr:to>
      <xdr:col>19</xdr:col>
      <xdr:colOff>376238</xdr:colOff>
      <xdr:row>19</xdr:row>
      <xdr:rowOff>171451</xdr:rowOff>
    </xdr:to>
    <xdr:graphicFrame macro="">
      <xdr:nvGraphicFramePr>
        <xdr:cNvPr id="26" name="Gráfico 24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28575</xdr:colOff>
      <xdr:row>1</xdr:row>
      <xdr:rowOff>9525</xdr:rowOff>
    </xdr:from>
    <xdr:to>
      <xdr:col>18</xdr:col>
      <xdr:colOff>457200</xdr:colOff>
      <xdr:row>14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ipo de delito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del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10250" y="200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190500</xdr:colOff>
      <xdr:row>1</xdr:row>
      <xdr:rowOff>9525</xdr:rowOff>
    </xdr:from>
    <xdr:to>
      <xdr:col>24</xdr:col>
      <xdr:colOff>66675</xdr:colOff>
      <xdr:row>14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Ubicación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bic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29625" y="200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9525</xdr:colOff>
      <xdr:row>1</xdr:row>
      <xdr:rowOff>9525</xdr:rowOff>
    </xdr:from>
    <xdr:to>
      <xdr:col>28</xdr:col>
      <xdr:colOff>85725</xdr:colOff>
      <xdr:row>14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96550" y="200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9525</xdr:colOff>
      <xdr:row>16</xdr:row>
      <xdr:rowOff>9525</xdr:rowOff>
    </xdr:from>
    <xdr:to>
      <xdr:col>22</xdr:col>
      <xdr:colOff>142875</xdr:colOff>
      <xdr:row>23</xdr:row>
      <xdr:rowOff>180975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AÑO">
              <a:extLst>
                <a:ext uri="{FF2B5EF4-FFF2-40B4-BE49-F238E27FC236}">
                  <a16:creationId xmlns:a16="http://schemas.microsoft.com/office/drawing/2014/main" id="{00000000-0008-0000-0B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6925" y="3057525"/>
              <a:ext cx="3486150" cy="1504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</xdr:row>
      <xdr:rowOff>0</xdr:rowOff>
    </xdr:from>
    <xdr:to>
      <xdr:col>18</xdr:col>
      <xdr:colOff>359323</xdr:colOff>
      <xdr:row>10</xdr:row>
      <xdr:rowOff>9525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12468225" y="762000"/>
          <a:ext cx="2683423" cy="1152525"/>
        </a:xfrm>
        <a:prstGeom prst="roundRect">
          <a:avLst>
            <a:gd name="adj" fmla="val 10735"/>
          </a:avLst>
        </a:prstGeom>
        <a:solidFill>
          <a:schemeClr val="bg1"/>
        </a:solidFill>
        <a:ln>
          <a:solidFill>
            <a:srgbClr val="B2B2B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15</xdr:col>
      <xdr:colOff>28575</xdr:colOff>
      <xdr:row>4</xdr:row>
      <xdr:rowOff>66675</xdr:rowOff>
    </xdr:from>
    <xdr:to>
      <xdr:col>18</xdr:col>
      <xdr:colOff>342900</xdr:colOff>
      <xdr:row>9</xdr:row>
      <xdr:rowOff>161925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4</xdr:row>
      <xdr:rowOff>9525</xdr:rowOff>
    </xdr:from>
    <xdr:to>
      <xdr:col>17</xdr:col>
      <xdr:colOff>619125</xdr:colOff>
      <xdr:row>5</xdr:row>
      <xdr:rowOff>98973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477750" y="771525"/>
          <a:ext cx="2266950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AR" sz="1100" b="1">
              <a:solidFill>
                <a:srgbClr val="323232"/>
              </a:solidFill>
              <a:latin typeface="Segoe UI" panose="020B0502040204020203" pitchFamily="34" charset="0"/>
              <a:cs typeface="Segoe UI" panose="020B0502040204020203" pitchFamily="34" charset="0"/>
            </a:rPr>
            <a:t>Día</a:t>
          </a:r>
          <a:r>
            <a:rPr lang="es-AR" sz="1100" b="1" baseline="0">
              <a:solidFill>
                <a:srgbClr val="323232"/>
              </a:solidFill>
              <a:latin typeface="Segoe UI" panose="020B0502040204020203" pitchFamily="34" charset="0"/>
              <a:cs typeface="Segoe UI" panose="020B0502040204020203" pitchFamily="34" charset="0"/>
            </a:rPr>
            <a:t> con más delitos registrados</a:t>
          </a:r>
          <a:r>
            <a:rPr lang="es-AR" sz="1100" b="1">
              <a:solidFill>
                <a:srgbClr val="323232"/>
              </a:solidFill>
              <a:latin typeface="Segoe UI" panose="020B0502040204020203" pitchFamily="34" charset="0"/>
              <a:cs typeface="Segoe UI" panose="020B0502040204020203" pitchFamily="34" charset="0"/>
            </a:rPr>
            <a:t>:</a:t>
          </a:r>
          <a:endParaRPr lang="es-AR" sz="1100" b="1" baseline="0">
            <a:solidFill>
              <a:srgbClr val="323232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15</xdr:col>
      <xdr:colOff>9526</xdr:colOff>
      <xdr:row>8</xdr:row>
      <xdr:rowOff>85725</xdr:rowOff>
    </xdr:from>
    <xdr:to>
      <xdr:col>15</xdr:col>
      <xdr:colOff>1076326</xdr:colOff>
      <xdr:row>9</xdr:row>
      <xdr:rowOff>166646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2477751" y="1609725"/>
          <a:ext cx="1066800" cy="2714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AR" sz="1050" b="0">
              <a:solidFill>
                <a:srgbClr val="B2B2B2"/>
              </a:solidFill>
              <a:latin typeface="Segoe UI" panose="020B0502040204020203" pitchFamily="34" charset="0"/>
              <a:cs typeface="Segoe UI" panose="020B0502040204020203" pitchFamily="34" charset="0"/>
            </a:rPr>
            <a:t>Cantidad total</a:t>
          </a:r>
          <a:r>
            <a:rPr lang="es-AR" sz="1050" b="0" baseline="0">
              <a:solidFill>
                <a:srgbClr val="B2B2B2"/>
              </a:solidFill>
              <a:latin typeface="Segoe UI" panose="020B0502040204020203" pitchFamily="34" charset="0"/>
              <a:cs typeface="Segoe UI" panose="020B0502040204020203" pitchFamily="34" charset="0"/>
            </a:rPr>
            <a:t>:</a:t>
          </a:r>
        </a:p>
      </xdr:txBody>
    </xdr:sp>
    <xdr:clientData/>
  </xdr:twoCellAnchor>
  <xdr:twoCellAnchor>
    <xdr:from>
      <xdr:col>15</xdr:col>
      <xdr:colOff>9526</xdr:colOff>
      <xdr:row>7</xdr:row>
      <xdr:rowOff>95250</xdr:rowOff>
    </xdr:from>
    <xdr:to>
      <xdr:col>16</xdr:col>
      <xdr:colOff>219076</xdr:colOff>
      <xdr:row>8</xdr:row>
      <xdr:rowOff>176171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 txBox="1"/>
      </xdr:nvSpPr>
      <xdr:spPr>
        <a:xfrm>
          <a:off x="12477751" y="1428750"/>
          <a:ext cx="1390650" cy="2714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AR" sz="1050" b="0" baseline="0">
              <a:solidFill>
                <a:srgbClr val="B2B2B2"/>
              </a:solidFill>
              <a:latin typeface="Segoe UI" panose="020B0502040204020203" pitchFamily="34" charset="0"/>
              <a:cs typeface="Segoe UI" panose="020B0502040204020203" pitchFamily="34" charset="0"/>
            </a:rPr>
            <a:t>% del total de delitos:</a:t>
          </a:r>
        </a:p>
      </xdr:txBody>
    </xdr:sp>
    <xdr:clientData/>
  </xdr:twoCellAnchor>
  <xdr:twoCellAnchor>
    <xdr:from>
      <xdr:col>15</xdr:col>
      <xdr:colOff>676275</xdr:colOff>
      <xdr:row>5</xdr:row>
      <xdr:rowOff>9525</xdr:rowOff>
    </xdr:from>
    <xdr:to>
      <xdr:col>17</xdr:col>
      <xdr:colOff>419100</xdr:colOff>
      <xdr:row>7</xdr:row>
      <xdr:rowOff>142874</xdr:rowOff>
    </xdr:to>
    <xdr:sp macro="" textlink="$A$7">
      <xdr:nvSpPr>
        <xdr:cNvPr id="20" name="CuadroTexto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 txBox="1"/>
      </xdr:nvSpPr>
      <xdr:spPr>
        <a:xfrm>
          <a:off x="13144500" y="962025"/>
          <a:ext cx="1400175" cy="514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E44191E3-84F3-4A29-ADD9-EC3A3014D0E5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jueves</a:t>
          </a:fld>
          <a:endParaRPr lang="es-AR" sz="3200" b="0" baseline="0">
            <a:solidFill>
              <a:srgbClr val="323232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17</xdr:col>
      <xdr:colOff>657225</xdr:colOff>
      <xdr:row>4</xdr:row>
      <xdr:rowOff>76200</xdr:rowOff>
    </xdr:from>
    <xdr:to>
      <xdr:col>18</xdr:col>
      <xdr:colOff>266700</xdr:colOff>
      <xdr:row>5</xdr:row>
      <xdr:rowOff>161925</xdr:rowOff>
    </xdr:to>
    <xdr:pic>
      <xdr:nvPicPr>
        <xdr:cNvPr id="23" name="Gráfico 22" descr="Calendario con relleno sólido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782800" y="838200"/>
          <a:ext cx="276225" cy="276225"/>
        </a:xfrm>
        <a:prstGeom prst="rect">
          <a:avLst/>
        </a:prstGeom>
      </xdr:spPr>
    </xdr:pic>
    <xdr:clientData/>
  </xdr:twoCellAnchor>
  <xdr:twoCellAnchor>
    <xdr:from>
      <xdr:col>15</xdr:col>
      <xdr:colOff>968923</xdr:colOff>
      <xdr:row>8</xdr:row>
      <xdr:rowOff>95250</xdr:rowOff>
    </xdr:from>
    <xdr:to>
      <xdr:col>16</xdr:col>
      <xdr:colOff>354838</xdr:colOff>
      <xdr:row>9</xdr:row>
      <xdr:rowOff>184955</xdr:rowOff>
    </xdr:to>
    <xdr:sp macro="" textlink="$N$7">
      <xdr:nvSpPr>
        <xdr:cNvPr id="19" name="CuadroTexto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 txBox="1"/>
      </xdr:nvSpPr>
      <xdr:spPr>
        <a:xfrm>
          <a:off x="13437148" y="1619250"/>
          <a:ext cx="56701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91108D96-A428-46B0-A478-C271B01D598B}" type="TxLink">
            <a:rPr lang="en-US" sz="11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 </a:t>
          </a:fld>
          <a:endParaRPr lang="es-AR" sz="1600" b="0">
            <a:solidFill>
              <a:srgbClr val="FF0000"/>
            </a:solidFill>
            <a:latin typeface="+mn-lt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187873</xdr:colOff>
      <xdr:row>7</xdr:row>
      <xdr:rowOff>114300</xdr:rowOff>
    </xdr:from>
    <xdr:to>
      <xdr:col>17</xdr:col>
      <xdr:colOff>278638</xdr:colOff>
      <xdr:row>9</xdr:row>
      <xdr:rowOff>13505</xdr:rowOff>
    </xdr:to>
    <xdr:sp macro="" textlink="$N$14">
      <xdr:nvSpPr>
        <xdr:cNvPr id="24" name="CuadroTexto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 txBox="1"/>
      </xdr:nvSpPr>
      <xdr:spPr>
        <a:xfrm>
          <a:off x="13837198" y="1447800"/>
          <a:ext cx="56701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3DF3FAAA-E8E1-4959-B185-E1670F1EF7C7}" type="TxLink">
            <a:rPr lang="en-US" sz="11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16%</a:t>
          </a:fld>
          <a:endParaRPr lang="es-AR" sz="1600" b="0">
            <a:solidFill>
              <a:srgbClr val="FF0000"/>
            </a:solidFill>
            <a:latin typeface="+mn-lt"/>
            <a:cs typeface="Segoe UI" panose="020B0502040204020203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0</xdr:rowOff>
    </xdr:from>
    <xdr:to>
      <xdr:col>24</xdr:col>
      <xdr:colOff>485774</xdr:colOff>
      <xdr:row>44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85724" y="0"/>
          <a:ext cx="16992600" cy="7505700"/>
        </a:xfrm>
        <a:prstGeom prst="roundRect">
          <a:avLst>
            <a:gd name="adj" fmla="val 1595"/>
          </a:avLst>
        </a:prstGeom>
        <a:solidFill>
          <a:srgbClr val="32323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2000">
              <a:latin typeface="Segoe UI Semibold" panose="020B0702040204020203" pitchFamily="34" charset="0"/>
              <a:cs typeface="Segoe UI Semibold" panose="020B0702040204020203" pitchFamily="34" charset="0"/>
            </a:rPr>
            <a:t>     DATOS</a:t>
          </a:r>
          <a:r>
            <a:rPr lang="es-AR" sz="2000" baseline="0">
              <a:latin typeface="Segoe UI Semibold" panose="020B0702040204020203" pitchFamily="34" charset="0"/>
              <a:cs typeface="Segoe UI Semibold" panose="020B0702040204020203" pitchFamily="34" charset="0"/>
            </a:rPr>
            <a:t> CRIMINALES 2015 - 2024</a:t>
          </a:r>
          <a:endParaRPr lang="es-AR" sz="2000" b="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4</xdr:col>
      <xdr:colOff>2343150</xdr:colOff>
      <xdr:row>2</xdr:row>
      <xdr:rowOff>117867</xdr:rowOff>
    </xdr:from>
    <xdr:to>
      <xdr:col>4</xdr:col>
      <xdr:colOff>2884135</xdr:colOff>
      <xdr:row>5</xdr:row>
      <xdr:rowOff>1617</xdr:rowOff>
    </xdr:to>
    <xdr:pic>
      <xdr:nvPicPr>
        <xdr:cNvPr id="7" name="Imagen 6" descr="Bandera de la provincia de Córdoba (Argentina) - Wikipedia, la enciclopedia  libre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0" y="498867"/>
          <a:ext cx="540985" cy="36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419100</xdr:colOff>
      <xdr:row>2</xdr:row>
      <xdr:rowOff>127392</xdr:rowOff>
    </xdr:from>
    <xdr:to>
      <xdr:col>16</xdr:col>
      <xdr:colOff>960085</xdr:colOff>
      <xdr:row>5</xdr:row>
      <xdr:rowOff>11142</xdr:rowOff>
    </xdr:to>
    <xdr:pic>
      <xdr:nvPicPr>
        <xdr:cNvPr id="8" name="Imagen 7" descr="Bandera de la provincia de Córdoba (Argentina) - Wikipedia, la enciclopedia  libre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63350" y="508392"/>
          <a:ext cx="540985" cy="36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4</xdr:col>
      <xdr:colOff>3019426</xdr:colOff>
      <xdr:row>1</xdr:row>
      <xdr:rowOff>19050</xdr:rowOff>
    </xdr:from>
    <xdr:ext cx="6257924" cy="825825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 txBox="1"/>
      </xdr:nvSpPr>
      <xdr:spPr>
        <a:xfrm>
          <a:off x="5153026" y="209550"/>
          <a:ext cx="6257924" cy="825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AR" sz="4400">
              <a:solidFill>
                <a:schemeClr val="bg1"/>
              </a:solidFill>
              <a:latin typeface="Segoe UI Semibold" panose="020B0702040204020203" pitchFamily="34" charset="0"/>
              <a:ea typeface="Segoe UI Black" panose="020B0A02040204020203" pitchFamily="34" charset="0"/>
              <a:cs typeface="Segoe UI Semibold" panose="020B0702040204020203" pitchFamily="34" charset="0"/>
            </a:rPr>
            <a:t>CÓRDOBA</a:t>
          </a:r>
          <a:r>
            <a:rPr lang="es-AR" sz="4400" baseline="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 </a:t>
          </a:r>
          <a:r>
            <a:rPr lang="es-AR" sz="4400" baseline="0">
              <a:solidFill>
                <a:schemeClr val="bg1"/>
              </a:solidFill>
              <a:latin typeface="Segoe UI Light" panose="020B0502040204020203" pitchFamily="34" charset="0"/>
              <a:ea typeface="Segoe UI Black" panose="020B0A02040204020203" pitchFamily="34" charset="0"/>
              <a:cs typeface="Segoe UI Light" panose="020B0502040204020203" pitchFamily="34" charset="0"/>
            </a:rPr>
            <a:t>- ARGENTINA</a:t>
          </a:r>
          <a:endParaRPr lang="es-AR" sz="4400">
            <a:solidFill>
              <a:schemeClr val="bg1"/>
            </a:solidFill>
            <a:latin typeface="Segoe UI Light" panose="020B0502040204020203" pitchFamily="34" charset="0"/>
            <a:ea typeface="Segoe UI Black" panose="020B0A02040204020203" pitchFamily="34" charset="0"/>
            <a:cs typeface="Segoe UI Light" panose="020B0502040204020203" pitchFamily="34" charset="0"/>
          </a:endParaRPr>
        </a:p>
      </xdr:txBody>
    </xdr:sp>
    <xdr:clientData/>
  </xdr:oneCellAnchor>
  <xdr:twoCellAnchor editAs="oneCell">
    <xdr:from>
      <xdr:col>4</xdr:col>
      <xdr:colOff>333375</xdr:colOff>
      <xdr:row>20</xdr:row>
      <xdr:rowOff>123824</xdr:rowOff>
    </xdr:from>
    <xdr:to>
      <xdr:col>4</xdr:col>
      <xdr:colOff>3270975</xdr:colOff>
      <xdr:row>39</xdr:row>
      <xdr:rowOff>28575</xdr:rowOff>
    </xdr:to>
    <xdr:pic>
      <xdr:nvPicPr>
        <xdr:cNvPr id="22" name="Imagen2" hidden="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6975" y="3695699"/>
          <a:ext cx="2937600" cy="2886076"/>
        </a:xfrm>
        <a:prstGeom prst="rect">
          <a:avLst/>
        </a:prstGeom>
      </xdr:spPr>
    </xdr:pic>
    <xdr:clientData/>
  </xdr:twoCellAnchor>
  <xdr:twoCellAnchor editAs="oneCell">
    <xdr:from>
      <xdr:col>4</xdr:col>
      <xdr:colOff>323850</xdr:colOff>
      <xdr:row>20</xdr:row>
      <xdr:rowOff>132225</xdr:rowOff>
    </xdr:from>
    <xdr:to>
      <xdr:col>4</xdr:col>
      <xdr:colOff>3257550</xdr:colOff>
      <xdr:row>39</xdr:row>
      <xdr:rowOff>38100</xdr:rowOff>
    </xdr:to>
    <xdr:pic>
      <xdr:nvPicPr>
        <xdr:cNvPr id="24" name="Imagen3" hidden="1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7450" y="3704100"/>
          <a:ext cx="2933700" cy="2887200"/>
        </a:xfrm>
        <a:prstGeom prst="rect">
          <a:avLst/>
        </a:prstGeom>
      </xdr:spPr>
    </xdr:pic>
    <xdr:clientData/>
  </xdr:twoCellAnchor>
  <xdr:twoCellAnchor editAs="oneCell">
    <xdr:from>
      <xdr:col>4</xdr:col>
      <xdr:colOff>323850</xdr:colOff>
      <xdr:row>20</xdr:row>
      <xdr:rowOff>141750</xdr:rowOff>
    </xdr:from>
    <xdr:to>
      <xdr:col>4</xdr:col>
      <xdr:colOff>3267075</xdr:colOff>
      <xdr:row>39</xdr:row>
      <xdr:rowOff>47625</xdr:rowOff>
    </xdr:to>
    <xdr:pic>
      <xdr:nvPicPr>
        <xdr:cNvPr id="26" name="Imagen4" hidden="1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7450" y="3713625"/>
          <a:ext cx="2943225" cy="2887200"/>
        </a:xfrm>
        <a:prstGeom prst="rect">
          <a:avLst/>
        </a:prstGeom>
      </xdr:spPr>
    </xdr:pic>
    <xdr:clientData/>
  </xdr:twoCellAnchor>
  <xdr:twoCellAnchor editAs="oneCell">
    <xdr:from>
      <xdr:col>4</xdr:col>
      <xdr:colOff>323850</xdr:colOff>
      <xdr:row>20</xdr:row>
      <xdr:rowOff>132225</xdr:rowOff>
    </xdr:from>
    <xdr:to>
      <xdr:col>4</xdr:col>
      <xdr:colOff>3267075</xdr:colOff>
      <xdr:row>39</xdr:row>
      <xdr:rowOff>38100</xdr:rowOff>
    </xdr:to>
    <xdr:pic>
      <xdr:nvPicPr>
        <xdr:cNvPr id="28" name="Imagen5" hidden="1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7450" y="3704100"/>
          <a:ext cx="2943225" cy="2887200"/>
        </a:xfrm>
        <a:prstGeom prst="rect">
          <a:avLst/>
        </a:prstGeom>
      </xdr:spPr>
    </xdr:pic>
    <xdr:clientData/>
  </xdr:twoCellAnchor>
  <xdr:twoCellAnchor editAs="oneCell">
    <xdr:from>
      <xdr:col>4</xdr:col>
      <xdr:colOff>333375</xdr:colOff>
      <xdr:row>20</xdr:row>
      <xdr:rowOff>103650</xdr:rowOff>
    </xdr:from>
    <xdr:to>
      <xdr:col>4</xdr:col>
      <xdr:colOff>3267076</xdr:colOff>
      <xdr:row>39</xdr:row>
      <xdr:rowOff>9525</xdr:rowOff>
    </xdr:to>
    <xdr:pic>
      <xdr:nvPicPr>
        <xdr:cNvPr id="30" name="Imagen6" hidden="1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6975" y="3675525"/>
          <a:ext cx="2933701" cy="2887200"/>
        </a:xfrm>
        <a:prstGeom prst="rect">
          <a:avLst/>
        </a:prstGeom>
      </xdr:spPr>
    </xdr:pic>
    <xdr:clientData/>
  </xdr:twoCellAnchor>
  <xdr:twoCellAnchor editAs="oneCell">
    <xdr:from>
      <xdr:col>4</xdr:col>
      <xdr:colOff>333375</xdr:colOff>
      <xdr:row>20</xdr:row>
      <xdr:rowOff>122700</xdr:rowOff>
    </xdr:from>
    <xdr:to>
      <xdr:col>4</xdr:col>
      <xdr:colOff>3267075</xdr:colOff>
      <xdr:row>39</xdr:row>
      <xdr:rowOff>28575</xdr:rowOff>
    </xdr:to>
    <xdr:pic>
      <xdr:nvPicPr>
        <xdr:cNvPr id="32" name="Imagen7" hidden="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6975" y="3694575"/>
          <a:ext cx="2933700" cy="2887200"/>
        </a:xfrm>
        <a:prstGeom prst="rect">
          <a:avLst/>
        </a:prstGeom>
      </xdr:spPr>
    </xdr:pic>
    <xdr:clientData/>
  </xdr:twoCellAnchor>
  <xdr:twoCellAnchor editAs="oneCell">
    <xdr:from>
      <xdr:col>4</xdr:col>
      <xdr:colOff>333375</xdr:colOff>
      <xdr:row>20</xdr:row>
      <xdr:rowOff>132225</xdr:rowOff>
    </xdr:from>
    <xdr:to>
      <xdr:col>4</xdr:col>
      <xdr:colOff>3267076</xdr:colOff>
      <xdr:row>39</xdr:row>
      <xdr:rowOff>38100</xdr:rowOff>
    </xdr:to>
    <xdr:pic>
      <xdr:nvPicPr>
        <xdr:cNvPr id="34" name="Imagen8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6975" y="3704100"/>
          <a:ext cx="2933701" cy="2887200"/>
        </a:xfrm>
        <a:prstGeom prst="rect">
          <a:avLst/>
        </a:prstGeom>
      </xdr:spPr>
    </xdr:pic>
    <xdr:clientData/>
  </xdr:twoCellAnchor>
  <xdr:twoCellAnchor editAs="oneCell">
    <xdr:from>
      <xdr:col>4</xdr:col>
      <xdr:colOff>314325</xdr:colOff>
      <xdr:row>20</xdr:row>
      <xdr:rowOff>128219</xdr:rowOff>
    </xdr:from>
    <xdr:to>
      <xdr:col>4</xdr:col>
      <xdr:colOff>3251925</xdr:colOff>
      <xdr:row>39</xdr:row>
      <xdr:rowOff>28575</xdr:rowOff>
    </xdr:to>
    <xdr:pic>
      <xdr:nvPicPr>
        <xdr:cNvPr id="36" name="Imagen9" hidden="1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7925" y="3700094"/>
          <a:ext cx="2937600" cy="2881681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20</xdr:row>
      <xdr:rowOff>118464</xdr:rowOff>
    </xdr:from>
    <xdr:to>
      <xdr:col>4</xdr:col>
      <xdr:colOff>3280500</xdr:colOff>
      <xdr:row>39</xdr:row>
      <xdr:rowOff>19050</xdr:rowOff>
    </xdr:to>
    <xdr:pic>
      <xdr:nvPicPr>
        <xdr:cNvPr id="38" name="Imagen10" hidden="1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0" y="3690339"/>
          <a:ext cx="2937600" cy="2881911"/>
        </a:xfrm>
        <a:prstGeom prst="rect">
          <a:avLst/>
        </a:prstGeom>
      </xdr:spPr>
    </xdr:pic>
    <xdr:clientData/>
  </xdr:twoCellAnchor>
  <xdr:twoCellAnchor>
    <xdr:from>
      <xdr:col>9</xdr:col>
      <xdr:colOff>514350</xdr:colOff>
      <xdr:row>34</xdr:row>
      <xdr:rowOff>171450</xdr:rowOff>
    </xdr:from>
    <xdr:to>
      <xdr:col>15</xdr:col>
      <xdr:colOff>390526</xdr:colOff>
      <xdr:row>42</xdr:row>
      <xdr:rowOff>133349</xdr:rowOff>
    </xdr:to>
    <xdr:graphicFrame macro="">
      <xdr:nvGraphicFramePr>
        <xdr:cNvPr id="39" name="Gráfico 36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476250</xdr:colOff>
      <xdr:row>33</xdr:row>
      <xdr:rowOff>19049</xdr:rowOff>
    </xdr:from>
    <xdr:to>
      <xdr:col>15</xdr:col>
      <xdr:colOff>476250</xdr:colOff>
      <xdr:row>43</xdr:row>
      <xdr:rowOff>9525</xdr:rowOff>
    </xdr:to>
    <xdr:sp macro="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SpPr/>
      </xdr:nvSpPr>
      <xdr:spPr>
        <a:xfrm>
          <a:off x="6810375" y="5429249"/>
          <a:ext cx="4029075" cy="1895476"/>
        </a:xfrm>
        <a:prstGeom prst="roundRect">
          <a:avLst>
            <a:gd name="adj" fmla="val 1629"/>
          </a:avLst>
        </a:prstGeom>
        <a:noFill/>
        <a:ln>
          <a:solidFill>
            <a:srgbClr val="B2B2B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15</xdr:col>
      <xdr:colOff>647700</xdr:colOff>
      <xdr:row>19</xdr:row>
      <xdr:rowOff>95251</xdr:rowOff>
    </xdr:from>
    <xdr:to>
      <xdr:col>21</xdr:col>
      <xdr:colOff>115033</xdr:colOff>
      <xdr:row>31</xdr:row>
      <xdr:rowOff>247650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11010900" y="3476626"/>
          <a:ext cx="3544033" cy="1800224"/>
        </a:xfrm>
        <a:prstGeom prst="roundRect">
          <a:avLst>
            <a:gd name="adj" fmla="val 2191"/>
          </a:avLst>
        </a:prstGeom>
        <a:noFill/>
        <a:ln>
          <a:solidFill>
            <a:srgbClr val="B2B2B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200" baseline="0"/>
        </a:p>
        <a:p>
          <a:pPr algn="l"/>
          <a:endParaRPr lang="es-AR" sz="1200"/>
        </a:p>
      </xdr:txBody>
    </xdr:sp>
    <xdr:clientData/>
  </xdr:twoCellAnchor>
  <xdr:twoCellAnchor>
    <xdr:from>
      <xdr:col>15</xdr:col>
      <xdr:colOff>695347</xdr:colOff>
      <xdr:row>21</xdr:row>
      <xdr:rowOff>28575</xdr:rowOff>
    </xdr:from>
    <xdr:to>
      <xdr:col>21</xdr:col>
      <xdr:colOff>71950</xdr:colOff>
      <xdr:row>31</xdr:row>
      <xdr:rowOff>219075</xdr:rowOff>
    </xdr:to>
    <xdr:graphicFrame macro="">
      <xdr:nvGraphicFramePr>
        <xdr:cNvPr id="46" name="Gráfico 4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118034</xdr:colOff>
      <xdr:row>19</xdr:row>
      <xdr:rowOff>129360</xdr:rowOff>
    </xdr:from>
    <xdr:to>
      <xdr:col>20</xdr:col>
      <xdr:colOff>161925</xdr:colOff>
      <xdr:row>21</xdr:row>
      <xdr:rowOff>30696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SpPr txBox="1"/>
      </xdr:nvSpPr>
      <xdr:spPr>
        <a:xfrm>
          <a:off x="12681509" y="3510735"/>
          <a:ext cx="1739341" cy="28233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AR" sz="12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Estadísticas de criminales</a:t>
          </a:r>
        </a:p>
      </xdr:txBody>
    </xdr:sp>
    <xdr:clientData/>
  </xdr:twoCellAnchor>
  <xdr:twoCellAnchor>
    <xdr:from>
      <xdr:col>15</xdr:col>
      <xdr:colOff>647700</xdr:colOff>
      <xdr:row>33</xdr:row>
      <xdr:rowOff>9526</xdr:rowOff>
    </xdr:from>
    <xdr:to>
      <xdr:col>21</xdr:col>
      <xdr:colOff>123825</xdr:colOff>
      <xdr:row>43</xdr:row>
      <xdr:rowOff>9526</xdr:rowOff>
    </xdr:to>
    <xdr:sp macro="" textlink="">
      <xdr:nvSpPr>
        <xdr:cNvPr id="53" name="Rectángulo: esquinas redondeadas 52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SpPr/>
      </xdr:nvSpPr>
      <xdr:spPr>
        <a:xfrm>
          <a:off x="11010900" y="5419726"/>
          <a:ext cx="3552825" cy="1905000"/>
        </a:xfrm>
        <a:prstGeom prst="roundRect">
          <a:avLst>
            <a:gd name="adj" fmla="val 2307"/>
          </a:avLst>
        </a:prstGeom>
        <a:noFill/>
        <a:ln>
          <a:solidFill>
            <a:srgbClr val="B2B2B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200" baseline="0"/>
        </a:p>
        <a:p>
          <a:pPr algn="l"/>
          <a:endParaRPr lang="es-AR" sz="1200"/>
        </a:p>
      </xdr:txBody>
    </xdr:sp>
    <xdr:clientData/>
  </xdr:twoCellAnchor>
  <xdr:twoCellAnchor>
    <xdr:from>
      <xdr:col>15</xdr:col>
      <xdr:colOff>723900</xdr:colOff>
      <xdr:row>34</xdr:row>
      <xdr:rowOff>171450</xdr:rowOff>
    </xdr:from>
    <xdr:to>
      <xdr:col>21</xdr:col>
      <xdr:colOff>86851</xdr:colOff>
      <xdr:row>42</xdr:row>
      <xdr:rowOff>134250</xdr:rowOff>
    </xdr:to>
    <xdr:graphicFrame macro="">
      <xdr:nvGraphicFramePr>
        <xdr:cNvPr id="12" name="Gráfico 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123825</xdr:colOff>
      <xdr:row>19</xdr:row>
      <xdr:rowOff>104776</xdr:rowOff>
    </xdr:from>
    <xdr:to>
      <xdr:col>9</xdr:col>
      <xdr:colOff>304800</xdr:colOff>
      <xdr:row>43</xdr:row>
      <xdr:rowOff>19051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257425" y="3486151"/>
          <a:ext cx="4381500" cy="3848100"/>
        </a:xfrm>
        <a:prstGeom prst="roundRect">
          <a:avLst>
            <a:gd name="adj" fmla="val 1629"/>
          </a:avLst>
        </a:prstGeom>
        <a:noFill/>
        <a:ln>
          <a:solidFill>
            <a:srgbClr val="B2B2B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40</xdr:row>
          <xdr:rowOff>123825</xdr:rowOff>
        </xdr:from>
        <xdr:to>
          <xdr:col>4</xdr:col>
          <xdr:colOff>1000125</xdr:colOff>
          <xdr:row>41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E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Anterior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2476500</xdr:colOff>
          <xdr:row>40</xdr:row>
          <xdr:rowOff>133350</xdr:rowOff>
        </xdr:from>
        <xdr:to>
          <xdr:col>4</xdr:col>
          <xdr:colOff>3190875</xdr:colOff>
          <xdr:row>41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E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Siguiente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333375</xdr:colOff>
      <xdr:row>20</xdr:row>
      <xdr:rowOff>143405</xdr:rowOff>
    </xdr:from>
    <xdr:to>
      <xdr:col>4</xdr:col>
      <xdr:colOff>3270624</xdr:colOff>
      <xdr:row>39</xdr:row>
      <xdr:rowOff>47625</xdr:rowOff>
    </xdr:to>
    <xdr:pic>
      <xdr:nvPicPr>
        <xdr:cNvPr id="18" name="Imagen1" hidden="1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6975" y="3715280"/>
          <a:ext cx="2937249" cy="2885545"/>
        </a:xfrm>
        <a:prstGeom prst="rect">
          <a:avLst/>
        </a:prstGeom>
        <a:ln>
          <a:solidFill>
            <a:srgbClr val="B2B2B2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1362075</xdr:colOff>
          <xdr:row>40</xdr:row>
          <xdr:rowOff>123825</xdr:rowOff>
        </xdr:from>
        <xdr:to>
          <xdr:col>4</xdr:col>
          <xdr:colOff>2076450</xdr:colOff>
          <xdr:row>41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E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3399971</xdr:colOff>
      <xdr:row>23</xdr:row>
      <xdr:rowOff>138964</xdr:rowOff>
    </xdr:from>
    <xdr:to>
      <xdr:col>9</xdr:col>
      <xdr:colOff>213965</xdr:colOff>
      <xdr:row>37</xdr:row>
      <xdr:rowOff>104775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18455" t="39882" r="71114" b="26358"/>
        <a:stretch/>
      </xdr:blipFill>
      <xdr:spPr>
        <a:xfrm>
          <a:off x="5533571" y="4282339"/>
          <a:ext cx="1014519" cy="1994636"/>
        </a:xfrm>
        <a:prstGeom prst="rect">
          <a:avLst/>
        </a:prstGeom>
        <a:ln>
          <a:solidFill>
            <a:srgbClr val="B2B2B2"/>
          </a:solidFill>
        </a:ln>
      </xdr:spPr>
    </xdr:pic>
    <xdr:clientData/>
  </xdr:twoCellAnchor>
  <xdr:twoCellAnchor>
    <xdr:from>
      <xdr:col>4</xdr:col>
      <xdr:colOff>3381376</xdr:colOff>
      <xdr:row>20</xdr:row>
      <xdr:rowOff>131815</xdr:rowOff>
    </xdr:from>
    <xdr:to>
      <xdr:col>9</xdr:col>
      <xdr:colOff>219075</xdr:colOff>
      <xdr:row>23</xdr:row>
      <xdr:rowOff>61991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SpPr txBox="1"/>
      </xdr:nvSpPr>
      <xdr:spPr>
        <a:xfrm>
          <a:off x="5514976" y="3703690"/>
          <a:ext cx="1038224" cy="501676"/>
        </a:xfrm>
        <a:prstGeom prst="rect">
          <a:avLst/>
        </a:prstGeom>
        <a:noFill/>
        <a:ln>
          <a:solidFill>
            <a:srgbClr val="B2B2B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s-AR" sz="12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Referencia</a:t>
          </a:r>
        </a:p>
        <a:p>
          <a:pPr algn="ctr"/>
          <a:r>
            <a:rPr lang="es-AR" sz="12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de colores</a:t>
          </a:r>
        </a:p>
      </xdr:txBody>
    </xdr:sp>
    <xdr:clientData/>
  </xdr:twoCellAnchor>
  <xdr:twoCellAnchor>
    <xdr:from>
      <xdr:col>21</xdr:col>
      <xdr:colOff>581426</xdr:colOff>
      <xdr:row>21</xdr:row>
      <xdr:rowOff>55811</xdr:rowOff>
    </xdr:from>
    <xdr:to>
      <xdr:col>24</xdr:col>
      <xdr:colOff>255316</xdr:colOff>
      <xdr:row>26</xdr:row>
      <xdr:rowOff>123825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5021326" y="3818186"/>
          <a:ext cx="1826540" cy="849064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21</xdr:col>
      <xdr:colOff>247650</xdr:colOff>
      <xdr:row>32</xdr:row>
      <xdr:rowOff>0</xdr:rowOff>
    </xdr:from>
    <xdr:to>
      <xdr:col>24</xdr:col>
      <xdr:colOff>352425</xdr:colOff>
      <xdr:row>42</xdr:row>
      <xdr:rowOff>102681</xdr:rowOff>
    </xdr:to>
    <xdr:graphicFrame macro="">
      <xdr:nvGraphicFramePr>
        <xdr:cNvPr id="50" name="Gráfico 42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269951</xdr:colOff>
      <xdr:row>20</xdr:row>
      <xdr:rowOff>172295</xdr:rowOff>
    </xdr:from>
    <xdr:to>
      <xdr:col>22</xdr:col>
      <xdr:colOff>276841</xdr:colOff>
      <xdr:row>22</xdr:row>
      <xdr:rowOff>124400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9467200">
          <a:off x="14709851" y="3744170"/>
          <a:ext cx="768890" cy="3331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28575</xdr:colOff>
      <xdr:row>25</xdr:row>
      <xdr:rowOff>180975</xdr:rowOff>
    </xdr:from>
    <xdr:to>
      <xdr:col>24</xdr:col>
      <xdr:colOff>266700</xdr:colOff>
      <xdr:row>31</xdr:row>
      <xdr:rowOff>266700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4468475" y="4533900"/>
          <a:ext cx="2390775" cy="762000"/>
        </a:xfrm>
        <a:prstGeom prst="roundRect">
          <a:avLst>
            <a:gd name="adj" fmla="val 2315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000"/>
        </a:p>
        <a:p>
          <a:pPr algn="ctr"/>
          <a:r>
            <a:rPr lang="es-AR" sz="1200">
              <a:latin typeface="Segoe UI Light" panose="020B0502040204020203" pitchFamily="34" charset="0"/>
              <a:cs typeface="Segoe UI Light" panose="020B0502040204020203" pitchFamily="34" charset="0"/>
            </a:rPr>
            <a:t> Efectividad policial:</a:t>
          </a:r>
        </a:p>
        <a:p>
          <a:pPr algn="ctr"/>
          <a:r>
            <a:rPr lang="es-AR" sz="1200">
              <a:solidFill>
                <a:srgbClr val="FF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50,5%</a:t>
          </a:r>
        </a:p>
        <a:p>
          <a:pPr algn="ctr"/>
          <a:endParaRPr lang="es-AR" sz="12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85723</xdr:colOff>
      <xdr:row>31</xdr:row>
      <xdr:rowOff>161925</xdr:rowOff>
    </xdr:from>
    <xdr:to>
      <xdr:col>3</xdr:col>
      <xdr:colOff>265348</xdr:colOff>
      <xdr:row>43</xdr:row>
      <xdr:rowOff>35925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3" name="Tipo de delito 1">
              <a:extLst>
                <a:ext uri="{FF2B5EF4-FFF2-40B4-BE49-F238E27FC236}">
                  <a16:creationId xmlns:a16="http://schemas.microsoft.com/office/drawing/2014/main" id="{00000000-0008-0000-0E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del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698" y="5191125"/>
              <a:ext cx="1656000" cy="216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17</xdr:col>
      <xdr:colOff>295047</xdr:colOff>
      <xdr:row>33</xdr:row>
      <xdr:rowOff>53578</xdr:rowOff>
    </xdr:from>
    <xdr:to>
      <xdr:col>21</xdr:col>
      <xdr:colOff>9525</xdr:colOff>
      <xdr:row>34</xdr:row>
      <xdr:rowOff>141519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SpPr txBox="1"/>
      </xdr:nvSpPr>
      <xdr:spPr>
        <a:xfrm>
          <a:off x="12858522" y="5463778"/>
          <a:ext cx="1590903" cy="2784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AR" sz="12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Estadísticas de victimas</a:t>
          </a:r>
        </a:p>
      </xdr:txBody>
    </xdr:sp>
    <xdr:clientData/>
  </xdr:twoCellAnchor>
  <xdr:twoCellAnchor editAs="oneCell">
    <xdr:from>
      <xdr:col>1</xdr:col>
      <xdr:colOff>76200</xdr:colOff>
      <xdr:row>15</xdr:row>
      <xdr:rowOff>285750</xdr:rowOff>
    </xdr:from>
    <xdr:to>
      <xdr:col>3</xdr:col>
      <xdr:colOff>257175</xdr:colOff>
      <xdr:row>31</xdr:row>
      <xdr:rowOff>45450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Ubicación 1">
              <a:extLst>
                <a:ext uri="{FF2B5EF4-FFF2-40B4-BE49-F238E27FC236}">
                  <a16:creationId xmlns:a16="http://schemas.microsoft.com/office/drawing/2014/main" id="{00000000-0008-0000-0E00-00003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bicac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175" y="2914650"/>
              <a:ext cx="1657350" cy="216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9</xdr:col>
      <xdr:colOff>476250</xdr:colOff>
      <xdr:row>21</xdr:row>
      <xdr:rowOff>95251</xdr:rowOff>
    </xdr:from>
    <xdr:to>
      <xdr:col>15</xdr:col>
      <xdr:colOff>390526</xdr:colOff>
      <xdr:row>31</xdr:row>
      <xdr:rowOff>285750</xdr:rowOff>
    </xdr:to>
    <xdr:graphicFrame macro="">
      <xdr:nvGraphicFramePr>
        <xdr:cNvPr id="13" name="Gráfico 1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476250</xdr:colOff>
      <xdr:row>19</xdr:row>
      <xdr:rowOff>95250</xdr:rowOff>
    </xdr:from>
    <xdr:to>
      <xdr:col>15</xdr:col>
      <xdr:colOff>476250</xdr:colOff>
      <xdr:row>31</xdr:row>
      <xdr:rowOff>247650</xdr:rowOff>
    </xdr:to>
    <xdr:sp macro="" textlink="">
      <xdr:nvSpPr>
        <xdr:cNvPr id="65" name="Rectángulo: esquinas redondeadas 64">
          <a:extLst>
            <a:ext uri="{FF2B5EF4-FFF2-40B4-BE49-F238E27FC236}">
              <a16:creationId xmlns:a16="http://schemas.microsoft.com/office/drawing/2014/main" id="{00000000-0008-0000-0E00-000041000000}"/>
            </a:ext>
          </a:extLst>
        </xdr:cNvPr>
        <xdr:cNvSpPr/>
      </xdr:nvSpPr>
      <xdr:spPr>
        <a:xfrm>
          <a:off x="6810375" y="3476625"/>
          <a:ext cx="4029075" cy="1800225"/>
        </a:xfrm>
        <a:prstGeom prst="roundRect">
          <a:avLst>
            <a:gd name="adj" fmla="val 1629"/>
          </a:avLst>
        </a:prstGeom>
        <a:noFill/>
        <a:ln>
          <a:solidFill>
            <a:srgbClr val="B2B2B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21</xdr:col>
      <xdr:colOff>266699</xdr:colOff>
      <xdr:row>19</xdr:row>
      <xdr:rowOff>85725</xdr:rowOff>
    </xdr:from>
    <xdr:to>
      <xdr:col>24</xdr:col>
      <xdr:colOff>352424</xdr:colOff>
      <xdr:row>42</xdr:row>
      <xdr:rowOff>190499</xdr:rowOff>
    </xdr:to>
    <xdr:sp macro="" textlink="">
      <xdr:nvSpPr>
        <xdr:cNvPr id="70" name="Rectángulo: esquinas redondeadas 69">
          <a:extLst>
            <a:ext uri="{FF2B5EF4-FFF2-40B4-BE49-F238E27FC236}">
              <a16:creationId xmlns:a16="http://schemas.microsoft.com/office/drawing/2014/main" id="{00000000-0008-0000-0E00-000046000000}"/>
            </a:ext>
          </a:extLst>
        </xdr:cNvPr>
        <xdr:cNvSpPr/>
      </xdr:nvSpPr>
      <xdr:spPr>
        <a:xfrm>
          <a:off x="14706599" y="3467100"/>
          <a:ext cx="2238375" cy="3848099"/>
        </a:xfrm>
        <a:prstGeom prst="roundRect">
          <a:avLst>
            <a:gd name="adj" fmla="val 1629"/>
          </a:avLst>
        </a:prstGeom>
        <a:noFill/>
        <a:ln>
          <a:solidFill>
            <a:srgbClr val="B2B2B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12</xdr:col>
      <xdr:colOff>704849</xdr:colOff>
      <xdr:row>8</xdr:row>
      <xdr:rowOff>95250</xdr:rowOff>
    </xdr:from>
    <xdr:to>
      <xdr:col>16</xdr:col>
      <xdr:colOff>1040549</xdr:colOff>
      <xdr:row>14</xdr:row>
      <xdr:rowOff>104775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pSpPr/>
      </xdr:nvGrpSpPr>
      <xdr:grpSpPr>
        <a:xfrm>
          <a:off x="9448799" y="1390650"/>
          <a:ext cx="2736000" cy="1152525"/>
          <a:chOff x="9238838" y="1319705"/>
          <a:chExt cx="2737616" cy="1152525"/>
        </a:xfrm>
      </xdr:grpSpPr>
      <xdr:sp macro="" textlink="">
        <xdr:nvSpPr>
          <xdr:cNvPr id="81" name="Rectángulo: esquinas redondeadas 80">
            <a:extLst>
              <a:ext uri="{FF2B5EF4-FFF2-40B4-BE49-F238E27FC236}">
                <a16:creationId xmlns:a16="http://schemas.microsoft.com/office/drawing/2014/main" id="{00000000-0008-0000-0E00-000051000000}"/>
              </a:ext>
            </a:extLst>
          </xdr:cNvPr>
          <xdr:cNvSpPr/>
        </xdr:nvSpPr>
        <xdr:spPr>
          <a:xfrm>
            <a:off x="9238838" y="1319705"/>
            <a:ext cx="2737616" cy="1152525"/>
          </a:xfrm>
          <a:prstGeom prst="roundRect">
            <a:avLst>
              <a:gd name="adj" fmla="val 3297"/>
            </a:avLst>
          </a:prstGeom>
          <a:solidFill>
            <a:schemeClr val="bg1"/>
          </a:solidFill>
          <a:ln>
            <a:solidFill>
              <a:srgbClr val="B2B2B2"/>
            </a:solidFill>
          </a:ln>
          <a:effectLst>
            <a:outerShdw blurRad="50800" dist="38100" dir="2700000" algn="tl" rotWithShape="0">
              <a:srgbClr val="B2B2B2">
                <a:alpha val="4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aphicFrame macro="">
        <xdr:nvGraphicFramePr>
          <xdr:cNvPr id="82" name="Gráfico 81">
            <a:extLst>
              <a:ext uri="{FF2B5EF4-FFF2-40B4-BE49-F238E27FC236}">
                <a16:creationId xmlns:a16="http://schemas.microsoft.com/office/drawing/2014/main" id="{00000000-0008-0000-0E00-000052000000}"/>
              </a:ext>
            </a:extLst>
          </xdr:cNvPr>
          <xdr:cNvGraphicFramePr>
            <a:graphicFrameLocks/>
          </xdr:cNvGraphicFramePr>
        </xdr:nvGraphicFramePr>
        <xdr:xfrm>
          <a:off x="9258545" y="1557830"/>
          <a:ext cx="2708385" cy="90788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sp macro="" textlink="">
        <xdr:nvSpPr>
          <xdr:cNvPr id="83" name="CuadroTexto 82">
            <a:extLst>
              <a:ext uri="{FF2B5EF4-FFF2-40B4-BE49-F238E27FC236}">
                <a16:creationId xmlns:a16="http://schemas.microsoft.com/office/drawing/2014/main" id="{00000000-0008-0000-0E00-000053000000}"/>
              </a:ext>
            </a:extLst>
          </xdr:cNvPr>
          <xdr:cNvSpPr txBox="1"/>
        </xdr:nvSpPr>
        <xdr:spPr>
          <a:xfrm>
            <a:off x="9248363" y="1329230"/>
            <a:ext cx="1600690" cy="2799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AR" sz="1100" b="1">
                <a:solidFill>
                  <a:srgbClr val="32323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Arrestos bajo drogas:</a:t>
            </a:r>
            <a:endParaRPr lang="es-AR" sz="1100" b="1" baseline="0">
              <a:solidFill>
                <a:srgbClr val="32323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84" name="Imagen 83" descr="drogas vector ilustración en garabatear estilo aislado en blanco  antecedentes 20398613 Vector en Vecteezy">
            <a:extLst>
              <a:ext uri="{FF2B5EF4-FFF2-40B4-BE49-F238E27FC236}">
                <a16:creationId xmlns:a16="http://schemas.microsoft.com/office/drawing/2014/main" id="{00000000-0008-0000-0E00-00005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142" t="23659" r="14827" b="30915"/>
          <a:stretch/>
        </xdr:blipFill>
        <xdr:spPr bwMode="auto">
          <a:xfrm>
            <a:off x="11328753" y="1395905"/>
            <a:ext cx="497285" cy="32256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85" name="CuadroTexto 84">
            <a:extLst>
              <a:ext uri="{FF2B5EF4-FFF2-40B4-BE49-F238E27FC236}">
                <a16:creationId xmlns:a16="http://schemas.microsoft.com/office/drawing/2014/main" id="{00000000-0008-0000-0E00-000055000000}"/>
              </a:ext>
            </a:extLst>
          </xdr:cNvPr>
          <xdr:cNvSpPr txBox="1"/>
        </xdr:nvSpPr>
        <xdr:spPr>
          <a:xfrm>
            <a:off x="9248363" y="2167430"/>
            <a:ext cx="2031903" cy="2714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AR" sz="1050" b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Variación</a:t>
            </a:r>
            <a:r>
              <a:rPr lang="es-AR" sz="1050" b="0" baseline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% promedio por año:</a:t>
            </a:r>
          </a:p>
        </xdr:txBody>
      </xdr:sp>
      <xdr:sp macro="" textlink="ARRESTOS!$A$31">
        <xdr:nvSpPr>
          <xdr:cNvPr id="86" name="CuadroTexto 85">
            <a:extLst>
              <a:ext uri="{FF2B5EF4-FFF2-40B4-BE49-F238E27FC236}">
                <a16:creationId xmlns:a16="http://schemas.microsoft.com/office/drawing/2014/main" id="{00000000-0008-0000-0E00-000056000000}"/>
              </a:ext>
            </a:extLst>
          </xdr:cNvPr>
          <xdr:cNvSpPr txBox="1"/>
        </xdr:nvSpPr>
        <xdr:spPr>
          <a:xfrm>
            <a:off x="11195404" y="2176955"/>
            <a:ext cx="42851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5275C6B-51FE-4E79-89F0-B70FBBE0263E}" type="TxLink">
              <a:rPr lang="en-US" sz="11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/>
              <a:t>15%</a:t>
            </a:fld>
            <a:endParaRPr lang="es-AR" sz="1200">
              <a:solidFill>
                <a:srgbClr val="FF0000"/>
              </a:solidFill>
            </a:endParaRPr>
          </a:p>
        </xdr:txBody>
      </xdr:sp>
      <xdr:sp macro="" textlink="">
        <xdr:nvSpPr>
          <xdr:cNvPr id="87" name="Flecha: hacia arriba 86">
            <a:extLst>
              <a:ext uri="{FF2B5EF4-FFF2-40B4-BE49-F238E27FC236}">
                <a16:creationId xmlns:a16="http://schemas.microsoft.com/office/drawing/2014/main" id="{00000000-0008-0000-0E00-000057000000}"/>
              </a:ext>
            </a:extLst>
          </xdr:cNvPr>
          <xdr:cNvSpPr/>
        </xdr:nvSpPr>
        <xdr:spPr>
          <a:xfrm>
            <a:off x="11557353" y="2253155"/>
            <a:ext cx="76201" cy="104775"/>
          </a:xfrm>
          <a:prstGeom prst="up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8" name="CuadroTexto 87">
            <a:extLst>
              <a:ext uri="{FF2B5EF4-FFF2-40B4-BE49-F238E27FC236}">
                <a16:creationId xmlns:a16="http://schemas.microsoft.com/office/drawing/2014/main" id="{00000000-0008-0000-0E00-000058000000}"/>
              </a:ext>
            </a:extLst>
          </xdr:cNvPr>
          <xdr:cNvSpPr txBox="1"/>
        </xdr:nvSpPr>
        <xdr:spPr>
          <a:xfrm>
            <a:off x="9248363" y="1986455"/>
            <a:ext cx="2106987" cy="2714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AR" sz="1050" b="0" baseline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% del total de arrestos efectivos:</a:t>
            </a:r>
          </a:p>
        </xdr:txBody>
      </xdr:sp>
      <xdr:sp macro="" textlink="ARRESTOS!$B$34">
        <xdr:nvSpPr>
          <xdr:cNvPr id="89" name="CuadroTexto 88">
            <a:extLst>
              <a:ext uri="{FF2B5EF4-FFF2-40B4-BE49-F238E27FC236}">
                <a16:creationId xmlns:a16="http://schemas.microsoft.com/office/drawing/2014/main" id="{00000000-0008-0000-0E00-000059000000}"/>
              </a:ext>
            </a:extLst>
          </xdr:cNvPr>
          <xdr:cNvSpPr txBox="1"/>
        </xdr:nvSpPr>
        <xdr:spPr>
          <a:xfrm>
            <a:off x="11195404" y="2015030"/>
            <a:ext cx="60670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FCA272C-07D2-420D-8513-A2C97844C9B5}" type="TxLink">
              <a:rPr lang="en-US" sz="11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/>
              <a:t>12,74%</a:t>
            </a:fld>
            <a:endParaRPr lang="es-AR" sz="1400" b="0">
              <a:solidFill>
                <a:srgbClr val="FF0000"/>
              </a:solidFill>
              <a:latin typeface="+mn-lt"/>
              <a:cs typeface="Segoe UI" panose="020B0502040204020203" pitchFamily="34" charset="0"/>
            </a:endParaRPr>
          </a:p>
        </xdr:txBody>
      </xdr:sp>
      <xdr:sp macro="" textlink="ARRESTOS!$J$17">
        <xdr:nvSpPr>
          <xdr:cNvPr id="90" name="CuadroTexto 89">
            <a:extLst>
              <a:ext uri="{FF2B5EF4-FFF2-40B4-BE49-F238E27FC236}">
                <a16:creationId xmlns:a16="http://schemas.microsoft.com/office/drawing/2014/main" id="{00000000-0008-0000-0E00-00005A000000}"/>
              </a:ext>
            </a:extLst>
          </xdr:cNvPr>
          <xdr:cNvSpPr txBox="1"/>
        </xdr:nvSpPr>
        <xdr:spPr>
          <a:xfrm>
            <a:off x="9315695" y="1595930"/>
            <a:ext cx="2552700" cy="3905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44D034C1-5422-4993-8432-6EBA9190D24E}" type="TxLink">
              <a:rPr lang="en-US" sz="2800" b="1" i="0" u="none" strike="noStrike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122</a:t>
            </a:fld>
            <a:endParaRPr lang="es-AR" sz="8000" b="1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1</xdr:col>
      <xdr:colOff>66677</xdr:colOff>
      <xdr:row>3</xdr:row>
      <xdr:rowOff>9524</xdr:rowOff>
    </xdr:from>
    <xdr:to>
      <xdr:col>3</xdr:col>
      <xdr:colOff>266700</xdr:colOff>
      <xdr:row>9</xdr:row>
      <xdr:rowOff>19049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1" name="AÑO 1">
              <a:extLst>
                <a:ext uri="{FF2B5EF4-FFF2-40B4-BE49-F238E27FC236}">
                  <a16:creationId xmlns:a16="http://schemas.microsoft.com/office/drawing/2014/main" id="{00000000-0008-0000-0E00-00005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AÑ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7652" y="581024"/>
              <a:ext cx="1676398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11</xdr:col>
      <xdr:colOff>771525</xdr:colOff>
      <xdr:row>19</xdr:row>
      <xdr:rowOff>158353</xdr:rowOff>
    </xdr:from>
    <xdr:to>
      <xdr:col>15</xdr:col>
      <xdr:colOff>413902</xdr:colOff>
      <xdr:row>21</xdr:row>
      <xdr:rowOff>55794</xdr:rowOff>
    </xdr:to>
    <xdr:sp macro="" textlink="">
      <xdr:nvSpPr>
        <xdr:cNvPr id="92" name="CuadroTexto 9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SpPr txBox="1"/>
      </xdr:nvSpPr>
      <xdr:spPr>
        <a:xfrm>
          <a:off x="8734425" y="3539728"/>
          <a:ext cx="2042677" cy="2784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AR" sz="12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Horarios pico de delincuencia</a:t>
          </a:r>
        </a:p>
      </xdr:txBody>
    </xdr:sp>
    <xdr:clientData/>
  </xdr:twoCellAnchor>
  <xdr:twoCellAnchor>
    <xdr:from>
      <xdr:col>11</xdr:col>
      <xdr:colOff>419101</xdr:colOff>
      <xdr:row>33</xdr:row>
      <xdr:rowOff>72628</xdr:rowOff>
    </xdr:from>
    <xdr:to>
      <xdr:col>15</xdr:col>
      <xdr:colOff>432953</xdr:colOff>
      <xdr:row>34</xdr:row>
      <xdr:rowOff>160569</xdr:rowOff>
    </xdr:to>
    <xdr:sp macro="" textlink="">
      <xdr:nvSpPr>
        <xdr:cNvPr id="93" name="CuadroTexto 92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SpPr txBox="1"/>
      </xdr:nvSpPr>
      <xdr:spPr>
        <a:xfrm>
          <a:off x="8382001" y="5482828"/>
          <a:ext cx="2414152" cy="2784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AR" sz="12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Tipos</a:t>
          </a:r>
          <a:r>
            <a:rPr lang="es-AR" sz="12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de delitos cometidos por mes</a:t>
          </a:r>
          <a:endParaRPr lang="es-AR" sz="1200" b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6</xdr:col>
      <xdr:colOff>8704</xdr:colOff>
      <xdr:row>8</xdr:row>
      <xdr:rowOff>95250</xdr:rowOff>
    </xdr:from>
    <xdr:to>
      <xdr:col>12</xdr:col>
      <xdr:colOff>161925</xdr:colOff>
      <xdr:row>14</xdr:row>
      <xdr:rowOff>104775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6171379" y="1390650"/>
          <a:ext cx="2734496" cy="1152525"/>
          <a:chOff x="6009454" y="1295400"/>
          <a:chExt cx="2734496" cy="1152525"/>
        </a:xfrm>
      </xdr:grpSpPr>
      <xdr:sp macro="" textlink="">
        <xdr:nvSpPr>
          <xdr:cNvPr id="94" name="Rectángulo: esquinas redondeadas 93">
            <a:extLst>
              <a:ext uri="{FF2B5EF4-FFF2-40B4-BE49-F238E27FC236}">
                <a16:creationId xmlns:a16="http://schemas.microsoft.com/office/drawing/2014/main" id="{00000000-0008-0000-0E00-00005E000000}"/>
              </a:ext>
            </a:extLst>
          </xdr:cNvPr>
          <xdr:cNvSpPr/>
        </xdr:nvSpPr>
        <xdr:spPr>
          <a:xfrm>
            <a:off x="6009454" y="1295400"/>
            <a:ext cx="2734496" cy="1152525"/>
          </a:xfrm>
          <a:prstGeom prst="roundRect">
            <a:avLst>
              <a:gd name="adj" fmla="val 3297"/>
            </a:avLst>
          </a:prstGeom>
          <a:solidFill>
            <a:schemeClr val="bg1"/>
          </a:solidFill>
          <a:ln>
            <a:solidFill>
              <a:srgbClr val="B2B2B2"/>
            </a:solidFill>
          </a:ln>
          <a:effectLst>
            <a:outerShdw blurRad="50800" dist="38100" dir="2700000" algn="tl" rotWithShape="0">
              <a:srgbClr val="B2B2B2">
                <a:alpha val="4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aphicFrame macro="">
        <xdr:nvGraphicFramePr>
          <xdr:cNvPr id="95" name="Gráfico 94">
            <a:extLst>
              <a:ext uri="{FF2B5EF4-FFF2-40B4-BE49-F238E27FC236}">
                <a16:creationId xmlns:a16="http://schemas.microsoft.com/office/drawing/2014/main" id="{00000000-0008-0000-0E00-00005F000000}"/>
              </a:ext>
            </a:extLst>
          </xdr:cNvPr>
          <xdr:cNvGraphicFramePr>
            <a:graphicFrameLocks/>
          </xdr:cNvGraphicFramePr>
        </xdr:nvGraphicFramePr>
        <xdr:xfrm>
          <a:off x="6036517" y="1548661"/>
          <a:ext cx="2705611" cy="87820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96" name="CuadroTexto 95">
            <a:extLst>
              <a:ext uri="{FF2B5EF4-FFF2-40B4-BE49-F238E27FC236}">
                <a16:creationId xmlns:a16="http://schemas.microsoft.com/office/drawing/2014/main" id="{00000000-0008-0000-0E00-000060000000}"/>
              </a:ext>
            </a:extLst>
          </xdr:cNvPr>
          <xdr:cNvSpPr txBox="1"/>
        </xdr:nvSpPr>
        <xdr:spPr>
          <a:xfrm>
            <a:off x="6018976" y="1304925"/>
            <a:ext cx="1624612" cy="2799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1100" b="1">
                <a:solidFill>
                  <a:srgbClr val="32323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Arrestos bajo alcohol:</a:t>
            </a:r>
            <a:endParaRPr lang="es-AR" sz="1100" b="1" baseline="0">
              <a:solidFill>
                <a:srgbClr val="32323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97" name="CuadroTexto 96">
            <a:extLst>
              <a:ext uri="{FF2B5EF4-FFF2-40B4-BE49-F238E27FC236}">
                <a16:creationId xmlns:a16="http://schemas.microsoft.com/office/drawing/2014/main" id="{00000000-0008-0000-0E00-000061000000}"/>
              </a:ext>
            </a:extLst>
          </xdr:cNvPr>
          <xdr:cNvSpPr txBox="1"/>
        </xdr:nvSpPr>
        <xdr:spPr>
          <a:xfrm>
            <a:off x="6018976" y="2143125"/>
            <a:ext cx="2031171" cy="2714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1050" b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Variación</a:t>
            </a:r>
            <a:r>
              <a:rPr lang="es-AR" sz="1050" b="0" baseline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% promedio por año:</a:t>
            </a:r>
          </a:p>
        </xdr:txBody>
      </xdr:sp>
      <xdr:sp macro="" textlink="ARRESTOS!$D$31">
        <xdr:nvSpPr>
          <xdr:cNvPr id="98" name="CuadroTexto 97">
            <a:extLst>
              <a:ext uri="{FF2B5EF4-FFF2-40B4-BE49-F238E27FC236}">
                <a16:creationId xmlns:a16="http://schemas.microsoft.com/office/drawing/2014/main" id="{00000000-0008-0000-0E00-000062000000}"/>
              </a:ext>
            </a:extLst>
          </xdr:cNvPr>
          <xdr:cNvSpPr txBox="1"/>
        </xdr:nvSpPr>
        <xdr:spPr>
          <a:xfrm>
            <a:off x="7984712" y="2162175"/>
            <a:ext cx="35689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9BF58FDF-D361-4743-B311-0E7B52E9A5F9}" type="TxLink">
              <a:rPr lang="en-US" sz="11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/>
              <a:t>2%</a:t>
            </a:fld>
            <a:endParaRPr lang="es-AR" sz="1400">
              <a:solidFill>
                <a:srgbClr val="FF0000"/>
              </a:solidFill>
            </a:endParaRPr>
          </a:p>
        </xdr:txBody>
      </xdr:sp>
      <xdr:sp macro="" textlink="">
        <xdr:nvSpPr>
          <xdr:cNvPr id="100" name="CuadroTexto 99">
            <a:extLst>
              <a:ext uri="{FF2B5EF4-FFF2-40B4-BE49-F238E27FC236}">
                <a16:creationId xmlns:a16="http://schemas.microsoft.com/office/drawing/2014/main" id="{00000000-0008-0000-0E00-000064000000}"/>
              </a:ext>
            </a:extLst>
          </xdr:cNvPr>
          <xdr:cNvSpPr txBox="1"/>
        </xdr:nvSpPr>
        <xdr:spPr>
          <a:xfrm>
            <a:off x="6018976" y="1962150"/>
            <a:ext cx="2106228" cy="2714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1050" b="0" baseline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% del total de arrestos efectivos:</a:t>
            </a:r>
          </a:p>
        </xdr:txBody>
      </xdr:sp>
      <xdr:sp macro="" textlink="ARRESTOS!$F$34">
        <xdr:nvSpPr>
          <xdr:cNvPr id="101" name="CuadroTexto 100">
            <a:extLst>
              <a:ext uri="{FF2B5EF4-FFF2-40B4-BE49-F238E27FC236}">
                <a16:creationId xmlns:a16="http://schemas.microsoft.com/office/drawing/2014/main" id="{00000000-0008-0000-0E00-000065000000}"/>
              </a:ext>
            </a:extLst>
          </xdr:cNvPr>
          <xdr:cNvSpPr txBox="1"/>
        </xdr:nvSpPr>
        <xdr:spPr>
          <a:xfrm>
            <a:off x="7975191" y="1981200"/>
            <a:ext cx="53501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DD051689-1FD3-49EE-93E1-824F2AB5C552}" type="TxLink">
              <a:rPr lang="en-US" sz="11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/>
              <a:t>7,59%</a:t>
            </a:fld>
            <a:endParaRPr lang="es-AR" sz="1600" b="0">
              <a:solidFill>
                <a:srgbClr val="FF0000"/>
              </a:solidFill>
              <a:latin typeface="+mn-lt"/>
              <a:cs typeface="Segoe UI" panose="020B0502040204020203" pitchFamily="34" charset="0"/>
            </a:endParaRPr>
          </a:p>
        </xdr:txBody>
      </xdr:sp>
      <xdr:sp macro="" textlink="ARRESTOS!$M$17">
        <xdr:nvSpPr>
          <xdr:cNvPr id="102" name="CuadroTexto 101">
            <a:extLst>
              <a:ext uri="{FF2B5EF4-FFF2-40B4-BE49-F238E27FC236}">
                <a16:creationId xmlns:a16="http://schemas.microsoft.com/office/drawing/2014/main" id="{00000000-0008-0000-0E00-000066000000}"/>
              </a:ext>
            </a:extLst>
          </xdr:cNvPr>
          <xdr:cNvSpPr txBox="1"/>
        </xdr:nvSpPr>
        <xdr:spPr>
          <a:xfrm>
            <a:off x="6085627" y="1571625"/>
            <a:ext cx="2551781" cy="3905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0216BFD3-A3FD-4A6D-85B7-BD46C9DCA96A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71</a:t>
            </a:fld>
            <a:endParaRPr lang="es-AR" sz="3200" b="1" baseline="0">
              <a:solidFill>
                <a:srgbClr val="32323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03" name="Imagen 102" descr="624.800+ Alcohol Ilustraciones de Stock, gráficos vectoriales libres de  derechos y clip art - iStock">
            <a:extLst>
              <a:ext uri="{FF2B5EF4-FFF2-40B4-BE49-F238E27FC236}">
                <a16:creationId xmlns:a16="http://schemas.microsoft.com/office/drawing/2014/main" id="{00000000-0008-0000-0E00-00006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500" t="15833" r="15000" b="19166"/>
          <a:stretch/>
        </xdr:blipFill>
        <xdr:spPr bwMode="auto">
          <a:xfrm>
            <a:off x="8185828" y="1345324"/>
            <a:ext cx="391041" cy="37606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4" name="Flecha: hacia arriba 103">
            <a:extLst>
              <a:ext uri="{FF2B5EF4-FFF2-40B4-BE49-F238E27FC236}">
                <a16:creationId xmlns:a16="http://schemas.microsoft.com/office/drawing/2014/main" id="{00000000-0008-0000-0E00-000068000000}"/>
              </a:ext>
            </a:extLst>
          </xdr:cNvPr>
          <xdr:cNvSpPr/>
        </xdr:nvSpPr>
        <xdr:spPr>
          <a:xfrm>
            <a:off x="8275916" y="2238375"/>
            <a:ext cx="76830" cy="104775"/>
          </a:xfrm>
          <a:prstGeom prst="up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</xdr:grpSp>
    <xdr:clientData/>
  </xdr:twoCellAnchor>
  <xdr:twoCellAnchor>
    <xdr:from>
      <xdr:col>1</xdr:col>
      <xdr:colOff>57150</xdr:colOff>
      <xdr:row>0</xdr:row>
      <xdr:rowOff>171450</xdr:rowOff>
    </xdr:from>
    <xdr:to>
      <xdr:col>1</xdr:col>
      <xdr:colOff>237150</xdr:colOff>
      <xdr:row>1</xdr:row>
      <xdr:rowOff>160950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238125" y="171450"/>
          <a:ext cx="180000" cy="180000"/>
        </a:xfrm>
        <a:prstGeom prst="roundRect">
          <a:avLst/>
        </a:prstGeom>
        <a:solidFill>
          <a:srgbClr val="EAEAE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750739</xdr:colOff>
      <xdr:row>9</xdr:row>
      <xdr:rowOff>53235</xdr:rowOff>
    </xdr:from>
    <xdr:to>
      <xdr:col>4</xdr:col>
      <xdr:colOff>3377983</xdr:colOff>
      <xdr:row>13</xdr:row>
      <xdr:rowOff>161924</xdr:rowOff>
    </xdr:to>
    <xdr:graphicFrame macro="">
      <xdr:nvGraphicFramePr>
        <xdr:cNvPr id="106" name="Gráfico 105">
          <a:extLst>
            <a:ext uri="{FF2B5EF4-FFF2-40B4-BE49-F238E27FC236}">
              <a16:creationId xmlns:a16="http://schemas.microsoft.com/office/drawing/2014/main" id="{00000000-0008-0000-0E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745576</xdr:colOff>
      <xdr:row>8</xdr:row>
      <xdr:rowOff>66675</xdr:rowOff>
    </xdr:from>
    <xdr:to>
      <xdr:col>5</xdr:col>
      <xdr:colOff>81151</xdr:colOff>
      <xdr:row>14</xdr:row>
      <xdr:rowOff>76200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/>
      </xdr:nvGrpSpPr>
      <xdr:grpSpPr>
        <a:xfrm>
          <a:off x="2879176" y="1362075"/>
          <a:ext cx="2736000" cy="1152525"/>
          <a:chOff x="2850602" y="1285875"/>
          <a:chExt cx="2683423" cy="1152525"/>
        </a:xfrm>
      </xdr:grpSpPr>
      <xdr:sp macro="" textlink="">
        <xdr:nvSpPr>
          <xdr:cNvPr id="105" name="Rectángulo: esquinas redondeadas 104">
            <a:extLst>
              <a:ext uri="{FF2B5EF4-FFF2-40B4-BE49-F238E27FC236}">
                <a16:creationId xmlns:a16="http://schemas.microsoft.com/office/drawing/2014/main" id="{00000000-0008-0000-0E00-000069000000}"/>
              </a:ext>
            </a:extLst>
          </xdr:cNvPr>
          <xdr:cNvSpPr/>
        </xdr:nvSpPr>
        <xdr:spPr>
          <a:xfrm>
            <a:off x="2850602" y="1285875"/>
            <a:ext cx="2683423" cy="1152525"/>
          </a:xfrm>
          <a:prstGeom prst="roundRect">
            <a:avLst>
              <a:gd name="adj" fmla="val 3297"/>
            </a:avLst>
          </a:prstGeom>
          <a:solidFill>
            <a:schemeClr val="bg1"/>
          </a:solidFill>
          <a:ln>
            <a:solidFill>
              <a:srgbClr val="B2B2B2"/>
            </a:solidFill>
          </a:ln>
          <a:effectLst>
            <a:outerShdw blurRad="50800" dist="38100" dir="2700000" algn="tl" rotWithShape="0">
              <a:srgbClr val="B2B2B2">
                <a:alpha val="4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07" name="CuadroTexto 106">
            <a:extLst>
              <a:ext uri="{FF2B5EF4-FFF2-40B4-BE49-F238E27FC236}">
                <a16:creationId xmlns:a16="http://schemas.microsoft.com/office/drawing/2014/main" id="{00000000-0008-0000-0E00-00006B000000}"/>
              </a:ext>
            </a:extLst>
          </xdr:cNvPr>
          <xdr:cNvSpPr txBox="1"/>
        </xdr:nvSpPr>
        <xdr:spPr>
          <a:xfrm>
            <a:off x="2860127" y="1295400"/>
            <a:ext cx="1574214" cy="2799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1100" b="1">
                <a:solidFill>
                  <a:srgbClr val="32323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Arrestos con armas:</a:t>
            </a:r>
            <a:endParaRPr lang="es-AR" sz="1100" b="1" baseline="0">
              <a:solidFill>
                <a:srgbClr val="32323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graphicFrame macro="">
        <xdr:nvGraphicFramePr>
          <xdr:cNvPr id="19" name="Gráfico 2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aphicFramePr/>
        </xdr:nvGraphicFramePr>
        <xdr:xfrm>
          <a:off x="2871787" y="1543050"/>
          <a:ext cx="2662238" cy="8862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108" name="CuadroTexto 107">
            <a:extLst>
              <a:ext uri="{FF2B5EF4-FFF2-40B4-BE49-F238E27FC236}">
                <a16:creationId xmlns:a16="http://schemas.microsoft.com/office/drawing/2014/main" id="{00000000-0008-0000-0E00-00006C000000}"/>
              </a:ext>
            </a:extLst>
          </xdr:cNvPr>
          <xdr:cNvSpPr txBox="1"/>
        </xdr:nvSpPr>
        <xdr:spPr>
          <a:xfrm>
            <a:off x="2860127" y="2133600"/>
            <a:ext cx="2247900" cy="2714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1050" b="0" baseline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Mayor ctdd. de atacantes usual:</a:t>
            </a:r>
          </a:p>
        </xdr:txBody>
      </xdr:sp>
      <xdr:sp macro="" textlink="ARMAS!$K$5">
        <xdr:nvSpPr>
          <xdr:cNvPr id="109" name="CuadroTexto 108">
            <a:extLst>
              <a:ext uri="{FF2B5EF4-FFF2-40B4-BE49-F238E27FC236}">
                <a16:creationId xmlns:a16="http://schemas.microsoft.com/office/drawing/2014/main" id="{00000000-0008-0000-0E00-00006D000000}"/>
              </a:ext>
            </a:extLst>
          </xdr:cNvPr>
          <xdr:cNvSpPr txBox="1"/>
        </xdr:nvSpPr>
        <xdr:spPr>
          <a:xfrm>
            <a:off x="4810125" y="2143125"/>
            <a:ext cx="372666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0E20363C-50D0-468C-8823-57E050BB6400}" type="TxLink">
              <a:rPr lang="en-US" sz="11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/>
              <a:t>4</a:t>
            </a:fld>
            <a:endParaRPr lang="es-AR" sz="1400">
              <a:solidFill>
                <a:srgbClr val="FF0000"/>
              </a:solidFill>
            </a:endParaRPr>
          </a:p>
        </xdr:txBody>
      </xdr:sp>
      <xdr:sp macro="" textlink="">
        <xdr:nvSpPr>
          <xdr:cNvPr id="110" name="CuadroTexto 109">
            <a:extLst>
              <a:ext uri="{FF2B5EF4-FFF2-40B4-BE49-F238E27FC236}">
                <a16:creationId xmlns:a16="http://schemas.microsoft.com/office/drawing/2014/main" id="{00000000-0008-0000-0E00-00006E000000}"/>
              </a:ext>
            </a:extLst>
          </xdr:cNvPr>
          <xdr:cNvSpPr txBox="1"/>
        </xdr:nvSpPr>
        <xdr:spPr>
          <a:xfrm>
            <a:off x="2860127" y="1952625"/>
            <a:ext cx="2106987" cy="2714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1050" b="0" baseline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% del total de arrestos efectivos:</a:t>
            </a:r>
          </a:p>
        </xdr:txBody>
      </xdr:sp>
      <xdr:sp macro="" textlink="ARMAS!$M$14">
        <xdr:nvSpPr>
          <xdr:cNvPr id="111" name="CuadroTexto 110">
            <a:extLst>
              <a:ext uri="{FF2B5EF4-FFF2-40B4-BE49-F238E27FC236}">
                <a16:creationId xmlns:a16="http://schemas.microsoft.com/office/drawing/2014/main" id="{00000000-0008-0000-0E00-00006F000000}"/>
              </a:ext>
            </a:extLst>
          </xdr:cNvPr>
          <xdr:cNvSpPr txBox="1"/>
        </xdr:nvSpPr>
        <xdr:spPr>
          <a:xfrm>
            <a:off x="4819650" y="1962150"/>
            <a:ext cx="56701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0B8F2E42-E9CC-4844-B509-3AA538E7F386}" type="TxLink">
              <a:rPr lang="en-US" sz="11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/>
              <a:t>16%</a:t>
            </a:fld>
            <a:endParaRPr lang="es-AR" sz="1600" b="0">
              <a:solidFill>
                <a:srgbClr val="FF0000"/>
              </a:solidFill>
              <a:latin typeface="+mn-lt"/>
              <a:cs typeface="Segoe UI" panose="020B0502040204020203" pitchFamily="34" charset="0"/>
            </a:endParaRPr>
          </a:p>
        </xdr:txBody>
      </xdr:sp>
      <xdr:sp macro="" textlink="ARMAS!$M$13">
        <xdr:nvSpPr>
          <xdr:cNvPr id="112" name="CuadroTexto 111">
            <a:extLst>
              <a:ext uri="{FF2B5EF4-FFF2-40B4-BE49-F238E27FC236}">
                <a16:creationId xmlns:a16="http://schemas.microsoft.com/office/drawing/2014/main" id="{00000000-0008-0000-0E00-000070000000}"/>
              </a:ext>
            </a:extLst>
          </xdr:cNvPr>
          <xdr:cNvSpPr txBox="1"/>
        </xdr:nvSpPr>
        <xdr:spPr>
          <a:xfrm>
            <a:off x="2926802" y="1562100"/>
            <a:ext cx="2552700" cy="3905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343F2776-6CD5-44F7-8999-7D1074C15D00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80</a:t>
            </a:fld>
            <a:endParaRPr lang="es-AR" sz="3200" b="1" baseline="0">
              <a:solidFill>
                <a:srgbClr val="32323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13" name="Imagen 112" descr="Diseño de ilustración de armas de pistola | Vector Premium">
            <a:extLst>
              <a:ext uri="{FF2B5EF4-FFF2-40B4-BE49-F238E27FC236}">
                <a16:creationId xmlns:a16="http://schemas.microsoft.com/office/drawing/2014/main" id="{00000000-0008-0000-0E00-00007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9452" y="1381125"/>
            <a:ext cx="390525" cy="3905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</xdr:col>
      <xdr:colOff>76199</xdr:colOff>
      <xdr:row>9</xdr:row>
      <xdr:rowOff>133350</xdr:rowOff>
    </xdr:from>
    <xdr:to>
      <xdr:col>3</xdr:col>
      <xdr:colOff>255824</xdr:colOff>
      <xdr:row>15</xdr:row>
      <xdr:rowOff>188324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5" name="DÍA 1">
              <a:extLst>
                <a:ext uri="{FF2B5EF4-FFF2-40B4-BE49-F238E27FC236}">
                  <a16:creationId xmlns:a16="http://schemas.microsoft.com/office/drawing/2014/main" id="{00000000-0008-0000-0E00-00004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Í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174" y="1619250"/>
              <a:ext cx="1656000" cy="11979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17</xdr:col>
      <xdr:colOff>174076</xdr:colOff>
      <xdr:row>8</xdr:row>
      <xdr:rowOff>104775</xdr:rowOff>
    </xdr:from>
    <xdr:to>
      <xdr:col>22</xdr:col>
      <xdr:colOff>271651</xdr:colOff>
      <xdr:row>14</xdr:row>
      <xdr:rowOff>114300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12737551" y="1400175"/>
          <a:ext cx="2736000" cy="1152525"/>
          <a:chOff x="12782552" y="1352549"/>
          <a:chExt cx="2683423" cy="1152525"/>
        </a:xfrm>
        <a:effectLst>
          <a:outerShdw blurRad="50800" dist="38100" dir="2700000" algn="tl" rotWithShape="0">
            <a:srgbClr val="B2B2B2">
              <a:alpha val="40000"/>
            </a:srgbClr>
          </a:outerShdw>
        </a:effectLst>
      </xdr:grpSpPr>
      <xdr:sp macro="" textlink="">
        <xdr:nvSpPr>
          <xdr:cNvPr id="76" name="Rectángulo: esquinas redondeadas 75">
            <a:extLst>
              <a:ext uri="{FF2B5EF4-FFF2-40B4-BE49-F238E27FC236}">
                <a16:creationId xmlns:a16="http://schemas.microsoft.com/office/drawing/2014/main" id="{00000000-0008-0000-0E00-00004C000000}"/>
              </a:ext>
            </a:extLst>
          </xdr:cNvPr>
          <xdr:cNvSpPr/>
        </xdr:nvSpPr>
        <xdr:spPr>
          <a:xfrm>
            <a:off x="12782552" y="1352549"/>
            <a:ext cx="2683423" cy="1152525"/>
          </a:xfrm>
          <a:prstGeom prst="roundRect">
            <a:avLst>
              <a:gd name="adj" fmla="val 3297"/>
            </a:avLst>
          </a:prstGeom>
          <a:solidFill>
            <a:schemeClr val="bg1"/>
          </a:solidFill>
          <a:ln>
            <a:solidFill>
              <a:srgbClr val="B2B2B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aphicFrame macro="">
        <xdr:nvGraphicFramePr>
          <xdr:cNvPr id="77" name="Gráfico 76">
            <a:extLst>
              <a:ext uri="{FF2B5EF4-FFF2-40B4-BE49-F238E27FC236}">
                <a16:creationId xmlns:a16="http://schemas.microsoft.com/office/drawing/2014/main" id="{00000000-0008-0000-0E00-00004D000000}"/>
              </a:ext>
            </a:extLst>
          </xdr:cNvPr>
          <xdr:cNvGraphicFramePr>
            <a:graphicFrameLocks/>
          </xdr:cNvGraphicFramePr>
        </xdr:nvGraphicFramePr>
        <xdr:xfrm>
          <a:off x="12811127" y="1419224"/>
          <a:ext cx="2638425" cy="1047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78" name="CuadroTexto 77">
            <a:extLst>
              <a:ext uri="{FF2B5EF4-FFF2-40B4-BE49-F238E27FC236}">
                <a16:creationId xmlns:a16="http://schemas.microsoft.com/office/drawing/2014/main" id="{00000000-0008-0000-0E00-00004E000000}"/>
              </a:ext>
            </a:extLst>
          </xdr:cNvPr>
          <xdr:cNvSpPr txBox="1"/>
        </xdr:nvSpPr>
        <xdr:spPr>
          <a:xfrm>
            <a:off x="12792077" y="1362074"/>
            <a:ext cx="2266950" cy="2799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1100" b="1">
                <a:solidFill>
                  <a:srgbClr val="32323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Día</a:t>
            </a:r>
            <a:r>
              <a:rPr lang="es-AR" sz="1100" b="1" baseline="0">
                <a:solidFill>
                  <a:srgbClr val="32323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con más delitos registrados</a:t>
            </a:r>
            <a:r>
              <a:rPr lang="es-AR" sz="1100" b="1">
                <a:solidFill>
                  <a:srgbClr val="32323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:</a:t>
            </a:r>
            <a:endParaRPr lang="es-AR" sz="1100" b="1" baseline="0">
              <a:solidFill>
                <a:srgbClr val="32323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79" name="CuadroTexto 78">
            <a:extLst>
              <a:ext uri="{FF2B5EF4-FFF2-40B4-BE49-F238E27FC236}">
                <a16:creationId xmlns:a16="http://schemas.microsoft.com/office/drawing/2014/main" id="{00000000-0008-0000-0E00-00004F000000}"/>
              </a:ext>
            </a:extLst>
          </xdr:cNvPr>
          <xdr:cNvSpPr txBox="1"/>
        </xdr:nvSpPr>
        <xdr:spPr>
          <a:xfrm>
            <a:off x="12792078" y="2200274"/>
            <a:ext cx="1066800" cy="2714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1050" b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Cantidad total</a:t>
            </a:r>
            <a:r>
              <a:rPr lang="es-AR" sz="1050" b="0" baseline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:</a:t>
            </a:r>
          </a:p>
        </xdr:txBody>
      </xdr:sp>
      <xdr:sp macro="" textlink="">
        <xdr:nvSpPr>
          <xdr:cNvPr id="80" name="CuadroTexto 79">
            <a:extLst>
              <a:ext uri="{FF2B5EF4-FFF2-40B4-BE49-F238E27FC236}">
                <a16:creationId xmlns:a16="http://schemas.microsoft.com/office/drawing/2014/main" id="{00000000-0008-0000-0E00-000050000000}"/>
              </a:ext>
            </a:extLst>
          </xdr:cNvPr>
          <xdr:cNvSpPr txBox="1"/>
        </xdr:nvSpPr>
        <xdr:spPr>
          <a:xfrm>
            <a:off x="12792078" y="2019299"/>
            <a:ext cx="1390650" cy="2714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1050" b="0" baseline="0">
                <a:solidFill>
                  <a:srgbClr val="B2B2B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% del total de delitos:</a:t>
            </a:r>
          </a:p>
        </xdr:txBody>
      </xdr:sp>
      <xdr:sp macro="" textlink="'Delitos por día de la semana'!$A$7">
        <xdr:nvSpPr>
          <xdr:cNvPr id="99" name="CuadroTexto 98">
            <a:extLst>
              <a:ext uri="{FF2B5EF4-FFF2-40B4-BE49-F238E27FC236}">
                <a16:creationId xmlns:a16="http://schemas.microsoft.com/office/drawing/2014/main" id="{00000000-0008-0000-0E00-000063000000}"/>
              </a:ext>
            </a:extLst>
          </xdr:cNvPr>
          <xdr:cNvSpPr txBox="1"/>
        </xdr:nvSpPr>
        <xdr:spPr>
          <a:xfrm>
            <a:off x="13458827" y="1552574"/>
            <a:ext cx="1400175" cy="5143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8CFF25DA-FB0E-44C2-83C5-DC1EA7BED847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jueves</a:t>
            </a:fld>
            <a:endParaRPr lang="es-AR" sz="3200" b="1" baseline="0">
              <a:solidFill>
                <a:srgbClr val="32323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14" name="Gráfico 113" descr="Calendario con relleno sólido">
            <a:extLst>
              <a:ext uri="{FF2B5EF4-FFF2-40B4-BE49-F238E27FC236}">
                <a16:creationId xmlns:a16="http://schemas.microsoft.com/office/drawing/2014/main" id="{00000000-0008-0000-0E00-00007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9"/>
              </a:ext>
            </a:extLst>
          </a:blip>
          <a:stretch>
            <a:fillRect/>
          </a:stretch>
        </xdr:blipFill>
        <xdr:spPr>
          <a:xfrm>
            <a:off x="15097127" y="1428749"/>
            <a:ext cx="276225" cy="276225"/>
          </a:xfrm>
          <a:prstGeom prst="rect">
            <a:avLst/>
          </a:prstGeom>
        </xdr:spPr>
      </xdr:pic>
      <xdr:sp macro="" textlink="'Delitos por día de la semana'!$N$7">
        <xdr:nvSpPr>
          <xdr:cNvPr id="115" name="CuadroTexto 114">
            <a:extLst>
              <a:ext uri="{FF2B5EF4-FFF2-40B4-BE49-F238E27FC236}">
                <a16:creationId xmlns:a16="http://schemas.microsoft.com/office/drawing/2014/main" id="{00000000-0008-0000-0E00-000073000000}"/>
              </a:ext>
            </a:extLst>
          </xdr:cNvPr>
          <xdr:cNvSpPr txBox="1"/>
        </xdr:nvSpPr>
        <xdr:spPr>
          <a:xfrm>
            <a:off x="13751475" y="2209799"/>
            <a:ext cx="56701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DC75DB54-0303-4599-8D58-1B417D6516C4}" type="TxLink">
              <a:rPr lang="en-US" sz="11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/>
              <a:t> </a:t>
            </a:fld>
            <a:endParaRPr lang="es-AR" sz="1600" b="0">
              <a:solidFill>
                <a:srgbClr val="FF0000"/>
              </a:solidFill>
              <a:latin typeface="+mn-lt"/>
              <a:cs typeface="Segoe UI" panose="020B0502040204020203" pitchFamily="34" charset="0"/>
            </a:endParaRPr>
          </a:p>
        </xdr:txBody>
      </xdr:sp>
      <xdr:sp macro="" textlink="'Delitos por día de la semana'!$N$14">
        <xdr:nvSpPr>
          <xdr:cNvPr id="116" name="CuadroTexto 115">
            <a:extLst>
              <a:ext uri="{FF2B5EF4-FFF2-40B4-BE49-F238E27FC236}">
                <a16:creationId xmlns:a16="http://schemas.microsoft.com/office/drawing/2014/main" id="{00000000-0008-0000-0E00-000074000000}"/>
              </a:ext>
            </a:extLst>
          </xdr:cNvPr>
          <xdr:cNvSpPr txBox="1"/>
        </xdr:nvSpPr>
        <xdr:spPr>
          <a:xfrm>
            <a:off x="14151525" y="2038349"/>
            <a:ext cx="56701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CEBC43AC-B09F-414D-B9F9-415AD697D3ED}" type="TxLink">
              <a:rPr lang="en-US" sz="11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/>
              <a:t>16%</a:t>
            </a:fld>
            <a:endParaRPr lang="es-AR" sz="1600" b="0">
              <a:solidFill>
                <a:srgbClr val="FF0000"/>
              </a:solidFill>
              <a:latin typeface="+mn-lt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torio durigutti" refreshedDate="45712.623737499998" createdVersion="7" refreshedVersion="7" minRefreshableVersion="3" recordCount="1001" xr:uid="{2289A698-4CE3-4392-B349-7E43E3A36E68}">
  <cacheSource type="worksheet">
    <worksheetSource ref="A1:AC1048576" sheet="Base de datos"/>
  </cacheSource>
  <cacheFields count="34">
    <cacheField name="ID" numFmtId="0">
      <sharedItems containsString="0" containsBlank="1" containsNumber="1" containsInteger="1" minValue="1" maxValue="1000"/>
    </cacheField>
    <cacheField name="Fecha" numFmtId="14">
      <sharedItems containsNonDate="0" containsDate="1" containsString="0" containsBlank="1" minDate="2015-01-02T00:00:00" maxDate="2024-12-30T00:00:00" count="886">
        <d v="2023-10-29T00:00:00"/>
        <d v="2017-03-15T00:00:00"/>
        <d v="2015-01-04T00:00:00"/>
        <d v="2022-10-22T00:00:00"/>
        <d v="2015-01-12T00:00:00"/>
        <d v="2015-01-13T00:00:00"/>
        <d v="2023-10-04T00:00:00"/>
        <d v="2015-01-18T00:00:00"/>
        <d v="2019-08-08T00:00:00"/>
        <d v="2023-08-26T00:00:00"/>
        <d v="2015-02-05T00:00:00"/>
        <d v="2015-02-13T00:00:00"/>
        <d v="2017-05-18T00:00:00"/>
        <d v="2020-02-02T00:00:00"/>
        <d v="2021-06-08T00:00:00"/>
        <d v="2015-02-26T00:00:00"/>
        <d v="2015-03-02T00:00:00"/>
        <d v="2023-11-26T00:00:00"/>
        <d v="2020-08-14T00:00:00"/>
        <d v="2015-03-26T00:00:00"/>
        <d v="2015-03-30T00:00:00"/>
        <d v="2017-01-01T00:00:00"/>
        <d v="2015-07-16T00:00:00"/>
        <d v="2015-04-16T00:00:00"/>
        <d v="2023-04-03T00:00:00"/>
        <d v="2017-04-13T00:00:00"/>
        <d v="2021-05-04T00:00:00"/>
        <d v="2015-04-26T00:00:00"/>
        <d v="2024-11-13T00:00:00"/>
        <d v="2015-05-06T00:00:00"/>
        <d v="2015-05-12T00:00:00"/>
        <d v="2015-05-14T00:00:00"/>
        <d v="2019-02-03T00:00:00"/>
        <d v="2019-06-15T00:00:00"/>
        <d v="2019-08-12T00:00:00"/>
        <d v="2015-06-27T00:00:00"/>
        <d v="2015-05-30T00:00:00"/>
        <d v="2015-05-31T00:00:00"/>
        <d v="2015-06-03T00:00:00"/>
        <d v="2024-03-12T00:00:00"/>
        <d v="2023-06-23T00:00:00"/>
        <d v="2015-12-18T00:00:00"/>
        <d v="2015-06-10T00:00:00"/>
        <d v="2017-06-25T00:00:00"/>
        <d v="2016-07-25T00:00:00"/>
        <d v="2015-07-05T00:00:00"/>
        <d v="2015-07-10T00:00:00"/>
        <d v="2019-07-23T00:00:00"/>
        <d v="2015-07-14T00:00:00"/>
        <d v="2020-11-15T00:00:00"/>
        <d v="2015-07-26T00:00:00"/>
        <d v="2023-05-18T00:00:00"/>
        <d v="2015-08-10T00:00:00"/>
        <d v="2015-08-13T00:00:00"/>
        <d v="2020-10-12T00:00:00"/>
        <d v="2015-08-30T00:00:00"/>
        <d v="2015-08-31T00:00:00"/>
        <d v="2015-09-01T00:00:00"/>
        <d v="2021-05-21T00:00:00"/>
        <d v="2020-05-03T00:00:00"/>
        <d v="2015-03-25T00:00:00"/>
        <d v="2017-09-01T00:00:00"/>
        <d v="2019-09-17T00:00:00"/>
        <d v="2017-08-05T00:00:00"/>
        <d v="2015-09-15T00:00:00"/>
        <d v="2015-09-22T00:00:00"/>
        <d v="2015-09-25T00:00:00"/>
        <d v="2015-09-26T00:00:00"/>
        <d v="2015-06-05T00:00:00"/>
        <d v="2015-09-09T00:00:00"/>
        <d v="2024-05-02T00:00:00"/>
        <d v="2015-10-20T00:00:00"/>
        <d v="2015-10-23T00:00:00"/>
        <d v="2024-12-23T00:00:00"/>
        <d v="2020-07-05T00:00:00"/>
        <d v="2024-04-26T00:00:00"/>
        <d v="2018-01-25T00:00:00"/>
        <d v="2019-01-07T00:00:00"/>
        <d v="2024-09-15T00:00:00"/>
        <d v="2015-12-26T00:00:00"/>
        <d v="2015-12-27T00:00:00"/>
        <d v="2022-09-05T00:00:00"/>
        <d v="2017-10-12T00:00:00"/>
        <d v="2023-10-18T00:00:00"/>
        <d v="2015-11-16T00:00:00"/>
        <d v="2016-02-01T00:00:00"/>
        <d v="2016-02-02T00:00:00"/>
        <d v="2016-02-03T00:00:00"/>
        <d v="2016-02-08T00:00:00"/>
        <d v="2022-08-12T00:00:00"/>
        <d v="2016-02-18T00:00:00"/>
        <d v="2015-05-24T00:00:00"/>
        <d v="2019-05-01T00:00:00"/>
        <d v="2016-09-26T00:00:00"/>
        <d v="2020-05-17T00:00:00"/>
        <d v="2016-03-10T00:00:00"/>
        <d v="2016-03-16T00:00:00"/>
        <d v="2024-12-02T00:00:00"/>
        <d v="2020-02-12T00:00:00"/>
        <d v="2016-03-31T00:00:00"/>
        <d v="2024-03-03T00:00:00"/>
        <d v="2016-04-05T00:00:00"/>
        <d v="2016-04-07T00:00:00"/>
        <d v="2016-04-12T00:00:00"/>
        <d v="2016-04-13T00:00:00"/>
        <d v="2016-04-20T00:00:00"/>
        <d v="2016-04-21T00:00:00"/>
        <d v="2016-10-03T00:00:00"/>
        <d v="2016-04-25T00:00:00"/>
        <d v="2023-11-18T00:00:00"/>
        <d v="2019-04-02T00:00:00"/>
        <d v="2016-05-07T00:00:00"/>
        <d v="2016-05-11T00:00:00"/>
        <d v="2016-05-13T00:00:00"/>
        <d v="2016-05-17T00:00:00"/>
        <d v="2021-12-21T00:00:00"/>
        <d v="2016-09-16T00:00:00"/>
        <d v="2016-05-28T00:00:00"/>
        <d v="2016-05-31T00:00:00"/>
        <d v="2019-01-14T00:00:00"/>
        <d v="2024-10-12T00:00:00"/>
        <d v="2016-06-04T00:00:00"/>
        <d v="2020-02-27T00:00:00"/>
        <d v="2016-06-08T00:00:00"/>
        <d v="2017-11-19T00:00:00"/>
        <d v="2016-06-10T00:00:00"/>
        <d v="2021-05-12T00:00:00"/>
        <d v="2018-03-28T00:00:00"/>
        <d v="2020-01-24T00:00:00"/>
        <d v="2016-07-04T00:00:00"/>
        <d v="2016-06-16T00:00:00"/>
        <d v="2016-07-11T00:00:00"/>
        <d v="2016-07-12T00:00:00"/>
        <d v="2022-10-18T00:00:00"/>
        <d v="2018-05-23T00:00:00"/>
        <d v="2016-07-27T00:00:00"/>
        <d v="2024-05-20T00:00:00"/>
        <d v="2023-05-27T00:00:00"/>
        <d v="2016-06-17T00:00:00"/>
        <d v="2016-08-28T00:00:00"/>
        <d v="2019-10-24T00:00:00"/>
        <d v="2016-09-06T00:00:00"/>
        <d v="2021-04-15T00:00:00"/>
        <d v="2022-03-15T00:00:00"/>
        <d v="2024-03-08T00:00:00"/>
        <d v="2016-09-19T00:00:00"/>
        <d v="2017-07-05T00:00:00"/>
        <d v="2016-09-27T00:00:00"/>
        <d v="2019-10-19T00:00:00"/>
        <d v="2016-10-04T00:00:00"/>
        <d v="2016-10-07T00:00:00"/>
        <d v="2016-10-09T00:00:00"/>
        <d v="2016-10-14T00:00:00"/>
        <d v="2016-10-22T00:00:00"/>
        <d v="2020-05-05T00:00:00"/>
        <d v="2023-11-14T00:00:00"/>
        <d v="2022-11-08T00:00:00"/>
        <d v="2016-11-26T00:00:00"/>
        <d v="2015-04-04T00:00:00"/>
        <d v="2016-12-05T00:00:00"/>
        <d v="2015-05-03T00:00:00"/>
        <d v="2018-06-12T00:00:00"/>
        <d v="2023-08-04T00:00:00"/>
        <d v="2016-12-26T00:00:00"/>
        <d v="2016-12-27T00:00:00"/>
        <d v="2019-01-23T00:00:00"/>
        <d v="2017-05-20T00:00:00"/>
        <d v="2017-01-02T00:00:00"/>
        <d v="2019-06-30T00:00:00"/>
        <d v="2024-05-29T00:00:00"/>
        <d v="2017-01-05T00:00:00"/>
        <d v="2017-01-07T00:00:00"/>
        <d v="2024-05-23T00:00:00"/>
        <d v="2017-01-25T00:00:00"/>
        <d v="2020-07-18T00:00:00"/>
        <d v="2018-08-31T00:00:00"/>
        <d v="2017-02-14T00:00:00"/>
        <d v="2017-02-16T00:00:00"/>
        <d v="2017-02-17T00:00:00"/>
        <d v="2017-02-25T00:00:00"/>
        <d v="2017-03-02T00:00:00"/>
        <d v="2017-03-04T00:00:00"/>
        <d v="2022-01-15T00:00:00"/>
        <d v="2015-06-04T00:00:00"/>
        <d v="2023-12-04T00:00:00"/>
        <d v="2024-07-02T00:00:00"/>
        <d v="2017-03-23T00:00:00"/>
        <d v="2017-04-06T00:00:00"/>
        <d v="2017-04-08T00:00:00"/>
        <d v="2018-02-27T00:00:00"/>
        <d v="2017-04-11T00:00:00"/>
        <d v="2017-04-12T00:00:00"/>
        <d v="2020-05-07T00:00:00"/>
        <d v="2017-04-17T00:00:00"/>
        <d v="2017-04-19T00:00:00"/>
        <d v="2018-10-21T00:00:00"/>
        <d v="2024-09-03T00:00:00"/>
        <d v="2017-04-28T00:00:00"/>
        <d v="2017-05-02T00:00:00"/>
        <d v="2022-11-29T00:00:00"/>
        <d v="2019-09-29T00:00:00"/>
        <d v="2017-05-16T00:00:00"/>
        <d v="2015-09-11T00:00:00"/>
        <d v="2022-09-01T00:00:00"/>
        <d v="2015-07-29T00:00:00"/>
        <d v="2017-05-25T00:00:00"/>
        <d v="2017-05-27T00:00:00"/>
        <d v="2024-12-22T00:00:00"/>
        <d v="2017-09-10T00:00:00"/>
        <d v="2023-08-10T00:00:00"/>
        <d v="2017-06-21T00:00:00"/>
        <d v="2015-07-12T00:00:00"/>
        <d v="2017-06-28T00:00:00"/>
        <d v="2018-05-26T00:00:00"/>
        <d v="2017-06-29T00:00:00"/>
        <d v="2023-07-16T00:00:00"/>
        <d v="2019-04-04T00:00:00"/>
        <d v="2017-07-25T00:00:00"/>
        <d v="2024-01-14T00:00:00"/>
        <d v="2018-01-28T00:00:00"/>
        <d v="2017-08-18T00:00:00"/>
        <d v="2017-08-21T00:00:00"/>
        <d v="2016-02-24T00:00:00"/>
        <d v="2016-07-26T00:00:00"/>
        <d v="2022-01-05T00:00:00"/>
        <d v="2017-09-06T00:00:00"/>
        <d v="2017-09-08T00:00:00"/>
        <d v="2022-06-20T00:00:00"/>
        <d v="2017-09-14T00:00:00"/>
        <d v="2021-09-03T00:00:00"/>
        <d v="2020-03-21T00:00:00"/>
        <d v="2018-07-02T00:00:00"/>
        <d v="2017-09-26T00:00:00"/>
        <d v="2017-10-03T00:00:00"/>
        <d v="2017-10-06T00:00:00"/>
        <d v="2017-10-10T00:00:00"/>
        <d v="2019-07-29T00:00:00"/>
        <d v="2017-10-18T00:00:00"/>
        <d v="2023-08-23T00:00:00"/>
        <d v="2015-01-02T00:00:00"/>
        <d v="2017-10-28T00:00:00"/>
        <d v="2017-10-30T00:00:00"/>
        <d v="2019-06-09T00:00:00"/>
        <d v="2022-11-17T00:00:00"/>
        <d v="2020-01-23T00:00:00"/>
        <d v="2017-11-04T00:00:00"/>
        <d v="2017-11-10T00:00:00"/>
        <d v="2022-04-18T00:00:00"/>
        <d v="2017-11-18T00:00:00"/>
        <d v="2023-09-17T00:00:00"/>
        <d v="2017-11-26T00:00:00"/>
        <d v="2017-12-06T00:00:00"/>
        <d v="2024-12-25T00:00:00"/>
        <d v="2017-12-27T00:00:00"/>
        <d v="2017-12-29T00:00:00"/>
        <d v="2017-12-30T00:00:00"/>
        <d v="2015-01-03T00:00:00"/>
        <d v="2022-04-17T00:00:00"/>
        <d v="2018-01-16T00:00:00"/>
        <d v="2023-06-26T00:00:00"/>
        <d v="2018-07-11T00:00:00"/>
        <d v="2020-10-18T00:00:00"/>
        <d v="2023-01-19T00:00:00"/>
        <d v="2018-01-27T00:00:00"/>
        <d v="2022-08-19T00:00:00"/>
        <d v="2018-02-06T00:00:00"/>
        <d v="2018-02-07T00:00:00"/>
        <d v="2018-08-12T00:00:00"/>
        <d v="2018-02-09T00:00:00"/>
        <d v="2021-02-26T00:00:00"/>
        <d v="2019-05-28T00:00:00"/>
        <d v="2024-01-21T00:00:00"/>
        <d v="2024-04-08T00:00:00"/>
        <d v="2018-03-05T00:00:00"/>
        <d v="2018-03-08T00:00:00"/>
        <d v="2018-03-16T00:00:00"/>
        <d v="2018-03-21T00:00:00"/>
        <d v="2015-12-16T00:00:00"/>
        <d v="2018-04-09T00:00:00"/>
        <d v="2018-04-22T00:00:00"/>
        <d v="2018-05-05T00:00:00"/>
        <d v="2018-05-13T00:00:00"/>
        <d v="2020-09-03T00:00:00"/>
        <d v="2018-05-14T00:00:00"/>
        <d v="2017-11-01T00:00:00"/>
        <d v="2019-08-05T00:00:00"/>
        <d v="2018-09-07T00:00:00"/>
        <d v="2016-01-05T00:00:00"/>
        <d v="2019-04-06T00:00:00"/>
        <d v="2018-06-11T00:00:00"/>
        <d v="2024-01-26T00:00:00"/>
        <d v="2018-06-13T00:00:00"/>
        <d v="2023-12-28T00:00:00"/>
        <d v="2018-06-18T00:00:00"/>
        <d v="2021-05-22T00:00:00"/>
        <d v="2021-10-26T00:00:00"/>
        <d v="2020-04-27T00:00:00"/>
        <d v="2021-01-05T00:00:00"/>
        <d v="2018-07-23T00:00:00"/>
        <d v="2019-11-03T00:00:00"/>
        <d v="2024-03-19T00:00:00"/>
        <d v="2018-07-29T00:00:00"/>
        <d v="2021-04-21T00:00:00"/>
        <d v="2018-08-03T00:00:00"/>
        <d v="2021-02-19T00:00:00"/>
        <d v="2018-08-06T00:00:00"/>
        <d v="2019-08-15T00:00:00"/>
        <d v="2015-04-23T00:00:00"/>
        <d v="2018-08-26T00:00:00"/>
        <d v="2018-08-29T00:00:00"/>
        <d v="2018-12-29T00:00:00"/>
        <d v="2018-09-02T00:00:00"/>
        <d v="2023-01-31T00:00:00"/>
        <d v="2018-09-15T00:00:00"/>
        <d v="2018-09-18T00:00:00"/>
        <d v="2022-01-22T00:00:00"/>
        <d v="2017-08-17T00:00:00"/>
        <d v="2015-09-29T00:00:00"/>
        <d v="2018-10-05T00:00:00"/>
        <d v="2018-10-09T00:00:00"/>
        <d v="2018-10-12T00:00:00"/>
        <d v="2019-08-31T00:00:00"/>
        <d v="2015-06-20T00:00:00"/>
        <d v="2018-10-28T00:00:00"/>
        <d v="2020-01-17T00:00:00"/>
        <d v="2018-11-08T00:00:00"/>
        <d v="2023-02-24T00:00:00"/>
        <d v="2023-09-22T00:00:00"/>
        <d v="2018-11-20T00:00:00"/>
        <d v="2018-11-23T00:00:00"/>
        <d v="2024-11-21T00:00:00"/>
        <d v="2018-12-01T00:00:00"/>
        <d v="2019-11-15T00:00:00"/>
        <d v="2015-05-17T00:00:00"/>
        <d v="2019-07-13T00:00:00"/>
        <d v="2018-12-12T00:00:00"/>
        <d v="2018-12-22T00:00:00"/>
        <d v="2023-02-04T00:00:00"/>
        <d v="2024-01-07T00:00:00"/>
        <d v="2024-10-03T00:00:00"/>
        <d v="2016-06-03T00:00:00"/>
        <d v="2023-07-13T00:00:00"/>
        <d v="2019-01-24T00:00:00"/>
        <d v="2019-06-20T00:00:00"/>
        <d v="2019-01-28T00:00:00"/>
        <d v="2017-05-07T00:00:00"/>
        <d v="2020-03-07T00:00:00"/>
        <d v="2019-02-09T00:00:00"/>
        <d v="2019-02-10T00:00:00"/>
        <d v="2016-12-07T00:00:00"/>
        <d v="2019-02-26T00:00:00"/>
        <d v="2019-02-27T00:00:00"/>
        <d v="2019-03-06T00:00:00"/>
        <d v="2019-03-08T00:00:00"/>
        <d v="2019-03-16T00:00:00"/>
        <d v="2019-03-19T00:00:00"/>
        <d v="2019-03-22T00:00:00"/>
        <d v="2021-06-03T00:00:00"/>
        <d v="2019-03-28T00:00:00"/>
        <d v="2019-03-29T00:00:00"/>
        <d v="2023-05-25T00:00:00"/>
        <d v="2020-05-26T00:00:00"/>
        <d v="2018-07-09T00:00:00"/>
        <d v="2019-04-05T00:00:00"/>
        <d v="2018-12-02T00:00:00"/>
        <d v="2016-08-19T00:00:00"/>
        <d v="2019-04-20T00:00:00"/>
        <d v="2019-04-25T00:00:00"/>
        <d v="2024-10-29T00:00:00"/>
        <d v="2021-09-09T00:00:00"/>
        <d v="2019-03-25T00:00:00"/>
        <d v="2019-04-30T00:00:00"/>
        <d v="2019-05-02T00:00:00"/>
        <d v="2019-05-03T00:00:00"/>
        <d v="2019-05-04T00:00:00"/>
        <d v="2019-05-08T00:00:00"/>
        <d v="2019-05-10T00:00:00"/>
        <d v="2016-05-05T00:00:00"/>
        <d v="2019-05-24T00:00:00"/>
        <d v="2019-05-26T00:00:00"/>
        <d v="2019-05-29T00:00:00"/>
        <d v="2018-11-15T00:00:00"/>
        <d v="2024-06-10T00:00:00"/>
        <d v="2018-02-08T00:00:00"/>
        <d v="2017-11-11T00:00:00"/>
        <d v="2015-02-23T00:00:00"/>
        <d v="2019-06-29T00:00:00"/>
        <d v="2020-11-14T00:00:00"/>
        <d v="2024-09-17T00:00:00"/>
        <d v="2019-07-02T00:00:00"/>
        <d v="2019-07-04T00:00:00"/>
        <d v="2019-07-06T00:00:00"/>
        <d v="2018-02-21T00:00:00"/>
        <d v="2019-07-10T00:00:00"/>
        <d v="2021-01-07T00:00:00"/>
        <d v="2019-07-22T00:00:00"/>
        <d v="2016-06-29T00:00:00"/>
        <d v="2019-09-01T00:00:00"/>
        <d v="2024-06-03T00:00:00"/>
        <d v="2022-04-02T00:00:00"/>
        <d v="2019-06-18T00:00:00"/>
        <d v="2019-08-07T00:00:00"/>
        <d v="2019-02-14T00:00:00"/>
        <d v="2024-02-01T00:00:00"/>
        <d v="2016-03-01T00:00:00"/>
        <d v="2017-11-23T00:00:00"/>
        <d v="2020-12-03T00:00:00"/>
        <d v="2019-08-20T00:00:00"/>
        <d v="2019-08-21T00:00:00"/>
        <d v="2019-08-24T00:00:00"/>
        <d v="2019-08-27T00:00:00"/>
        <d v="2019-08-13T00:00:00"/>
        <d v="2015-09-03T00:00:00"/>
        <d v="2024-10-01T00:00:00"/>
        <d v="2019-09-07T00:00:00"/>
        <d v="2019-09-09T00:00:00"/>
        <d v="2019-09-11T00:00:00"/>
        <d v="2021-02-05T00:00:00"/>
        <d v="2019-09-16T00:00:00"/>
        <d v="2017-01-27T00:00:00"/>
        <d v="2019-09-20T00:00:00"/>
        <d v="2019-09-27T00:00:00"/>
        <d v="2019-04-29T00:00:00"/>
        <d v="2019-09-30T00:00:00"/>
        <d v="2018-08-10T00:00:00"/>
        <d v="2019-10-04T00:00:00"/>
        <d v="2020-06-21T00:00:00"/>
        <d v="2019-10-10T00:00:00"/>
        <d v="2016-01-11T00:00:00"/>
        <d v="2019-10-16T00:00:00"/>
        <d v="2016-05-19T00:00:00"/>
        <d v="2019-10-20T00:00:00"/>
        <d v="2016-12-02T00:00:00"/>
        <d v="2019-10-27T00:00:00"/>
        <d v="2021-10-01T00:00:00"/>
        <d v="2019-11-07T00:00:00"/>
        <d v="2019-11-13T00:00:00"/>
        <d v="2018-12-24T00:00:00"/>
        <d v="2019-11-17T00:00:00"/>
        <d v="2016-02-29T00:00:00"/>
        <d v="2019-11-21T00:00:00"/>
        <d v="2019-11-26T00:00:00"/>
        <d v="2019-11-28T00:00:00"/>
        <d v="2019-12-01T00:00:00"/>
        <d v="2019-12-02T00:00:00"/>
        <d v="2024-01-09T00:00:00"/>
        <d v="2017-04-25T00:00:00"/>
        <d v="2019-12-22T00:00:00"/>
        <d v="2017-09-20T00:00:00"/>
        <d v="2020-01-09T00:00:00"/>
        <d v="2020-01-14T00:00:00"/>
        <d v="2018-06-15T00:00:00"/>
        <d v="2020-01-19T00:00:00"/>
        <d v="2016-12-20T00:00:00"/>
        <d v="2020-07-28T00:00:00"/>
        <d v="2020-01-27T00:00:00"/>
        <d v="2020-01-31T00:00:00"/>
        <d v="2016-03-26T00:00:00"/>
        <d v="2020-02-06T00:00:00"/>
        <d v="2020-02-10T00:00:00"/>
        <d v="2024-12-28T00:00:00"/>
        <d v="2020-02-21T00:00:00"/>
        <d v="2020-02-26T00:00:00"/>
        <d v="2024-05-24T00:00:00"/>
        <d v="2020-03-01T00:00:00"/>
        <d v="2024-07-03T00:00:00"/>
        <d v="2020-03-18T00:00:00"/>
        <d v="2021-02-08T00:00:00"/>
        <d v="2020-03-26T00:00:00"/>
        <d v="2020-03-28T00:00:00"/>
        <d v="2020-04-03T00:00:00"/>
        <d v="2020-04-22T00:00:00"/>
        <d v="2024-07-22T00:00:00"/>
        <d v="2018-12-09T00:00:00"/>
        <d v="2023-05-28T00:00:00"/>
        <d v="2021-03-22T00:00:00"/>
        <d v="2020-05-13T00:00:00"/>
        <d v="2023-02-12T00:00:00"/>
        <d v="2021-10-23T00:00:00"/>
        <d v="2020-05-18T00:00:00"/>
        <d v="2020-05-20T00:00:00"/>
        <d v="2019-08-01T00:00:00"/>
        <d v="2022-01-07T00:00:00"/>
        <d v="2020-05-30T00:00:00"/>
        <d v="2023-11-10T00:00:00"/>
        <d v="2018-09-29T00:00:00"/>
        <d v="2020-06-07T00:00:00"/>
        <d v="2020-06-13T00:00:00"/>
        <d v="2020-06-15T00:00:00"/>
        <d v="2020-06-20T00:00:00"/>
        <d v="2020-06-08T00:00:00"/>
        <d v="2016-06-09T00:00:00"/>
        <d v="2023-06-16T00:00:00"/>
        <d v="2020-07-15T00:00:00"/>
        <d v="2023-10-02T00:00:00"/>
        <d v="2016-12-15T00:00:00"/>
        <d v="2024-11-26T00:00:00"/>
        <d v="2020-08-06T00:00:00"/>
        <d v="2022-08-15T00:00:00"/>
        <d v="2020-08-11T00:00:00"/>
        <d v="2020-08-12T00:00:00"/>
        <d v="2023-12-14T00:00:00"/>
        <d v="2020-08-19T00:00:00"/>
        <d v="2023-11-15T00:00:00"/>
        <d v="2020-09-01T00:00:00"/>
        <d v="2021-08-26T00:00:00"/>
        <d v="2017-02-09T00:00:00"/>
        <d v="2020-09-12T00:00:00"/>
        <d v="2023-03-03T00:00:00"/>
        <d v="2019-04-27T00:00:00"/>
        <d v="2018-01-23T00:00:00"/>
        <d v="2020-10-16T00:00:00"/>
        <d v="2022-02-11T00:00:00"/>
        <d v="2024-04-12T00:00:00"/>
        <d v="2020-10-26T00:00:00"/>
        <d v="2020-10-30T00:00:00"/>
        <d v="2020-11-03T00:00:00"/>
        <d v="2020-11-04T00:00:00"/>
        <d v="2020-11-07T00:00:00"/>
        <d v="2024-01-02T00:00:00"/>
        <d v="2020-11-13T00:00:00"/>
        <d v="2019-01-19T00:00:00"/>
        <d v="2016-09-11T00:00:00"/>
        <d v="2020-11-18T00:00:00"/>
        <d v="2020-11-30T00:00:00"/>
        <d v="2020-12-01T00:00:00"/>
        <d v="2023-03-05T00:00:00"/>
        <d v="2020-12-07T00:00:00"/>
        <d v="2020-12-15T00:00:00"/>
        <d v="2016-12-28T00:00:00"/>
        <d v="2022-03-29T00:00:00"/>
        <d v="2020-12-28T00:00:00"/>
        <d v="2020-12-29T00:00:00"/>
        <d v="2023-12-01T00:00:00"/>
        <d v="2021-01-04T00:00:00"/>
        <d v="2016-03-17T00:00:00"/>
        <d v="2024-04-30T00:00:00"/>
        <d v="2015-10-03T00:00:00"/>
        <d v="2015-04-17T00:00:00"/>
        <d v="2016-03-02T00:00:00"/>
        <d v="2021-01-28T00:00:00"/>
        <d v="2021-01-31T00:00:00"/>
        <d v="2016-07-10T00:00:00"/>
        <d v="2021-02-16T00:00:00"/>
        <d v="2021-09-01T00:00:00"/>
        <d v="2021-02-22T00:00:00"/>
        <d v="2020-01-06T00:00:00"/>
        <d v="2021-03-03T00:00:00"/>
        <d v="2022-01-13T00:00:00"/>
        <d v="2022-12-28T00:00:00"/>
        <d v="2018-01-17T00:00:00"/>
        <d v="2021-03-29T00:00:00"/>
        <d v="2021-04-06T00:00:00"/>
        <d v="2018-08-01T00:00:00"/>
        <d v="2021-04-16T00:00:00"/>
        <d v="2019-10-15T00:00:00"/>
        <d v="2021-04-23T00:00:00"/>
        <d v="2021-04-27T00:00:00"/>
        <d v="2024-05-13T00:00:00"/>
        <d v="2021-05-10T00:00:00"/>
        <d v="2019-12-05T00:00:00"/>
        <d v="2019-01-27T00:00:00"/>
        <d v="2021-05-23T00:00:00"/>
        <d v="2019-06-17T00:00:00"/>
        <d v="2021-05-28T00:00:00"/>
        <d v="2021-06-01T00:00:00"/>
        <d v="2021-06-02T00:00:00"/>
        <d v="2022-10-21T00:00:00"/>
        <d v="2022-09-30T00:00:00"/>
        <d v="2021-06-13T00:00:00"/>
        <d v="2021-06-14T00:00:00"/>
        <d v="2021-06-18T00:00:00"/>
        <d v="2015-09-07T00:00:00"/>
        <d v="2021-06-24T00:00:00"/>
        <d v="2021-06-26T00:00:00"/>
        <d v="2021-07-01T00:00:00"/>
        <d v="2021-07-10T00:00:00"/>
        <d v="2021-07-13T00:00:00"/>
        <d v="2021-07-26T00:00:00"/>
        <d v="2021-07-29T00:00:00"/>
        <d v="2023-02-23T00:00:00"/>
        <d v="2021-08-01T00:00:00"/>
        <d v="2021-08-03T00:00:00"/>
        <d v="2021-08-05T00:00:00"/>
        <d v="2021-08-07T00:00:00"/>
        <d v="2016-02-13T00:00:00"/>
        <d v="2024-10-13T00:00:00"/>
        <d v="2021-08-21T00:00:00"/>
        <d v="2021-08-22T00:00:00"/>
        <d v="2023-09-01T00:00:00"/>
        <d v="2024-04-03T00:00:00"/>
        <d v="2020-12-31T00:00:00"/>
        <d v="2021-08-27T00:00:00"/>
        <d v="2024-05-07T00:00:00"/>
        <d v="2022-02-18T00:00:00"/>
        <d v="2021-09-06T00:00:00"/>
        <d v="2021-09-07T00:00:00"/>
        <d v="2022-05-25T00:00:00"/>
        <d v="2021-09-11T00:00:00"/>
        <d v="2021-09-21T00:00:00"/>
        <d v="2021-09-26T00:00:00"/>
        <d v="2021-09-29T00:00:00"/>
        <d v="2015-11-18T00:00:00"/>
        <d v="2021-10-05T00:00:00"/>
        <d v="2021-10-06T00:00:00"/>
        <d v="2021-10-16T00:00:00"/>
        <d v="2021-10-20T00:00:00"/>
        <d v="2021-10-21T00:00:00"/>
        <d v="2020-08-08T00:00:00"/>
        <d v="2017-06-04T00:00:00"/>
        <d v="2018-07-17T00:00:00"/>
        <d v="2021-10-29T00:00:00"/>
        <d v="2021-11-06T00:00:00"/>
        <d v="2023-01-15T00:00:00"/>
        <d v="2020-12-27T00:00:00"/>
        <d v="2021-11-14T00:00:00"/>
        <d v="2021-01-18T00:00:00"/>
        <d v="2021-12-09T00:00:00"/>
        <d v="2020-12-23T00:00:00"/>
        <d v="2024-01-23T00:00:00"/>
        <d v="2021-12-31T00:00:00"/>
        <d v="2018-01-08T00:00:00"/>
        <d v="2017-08-25T00:00:00"/>
        <d v="2021-03-25T00:00:00"/>
        <d v="2022-01-14T00:00:00"/>
        <d v="2017-03-19T00:00:00"/>
        <d v="2022-12-02T00:00:00"/>
        <d v="2022-01-28T00:00:00"/>
        <d v="2022-02-06T00:00:00"/>
        <d v="2017-09-19T00:00:00"/>
        <d v="2016-09-03T00:00:00"/>
        <d v="2022-02-15T00:00:00"/>
        <d v="2018-01-04T00:00:00"/>
        <d v="2022-02-19T00:00:00"/>
        <d v="2022-03-08T00:00:00"/>
        <d v="2021-01-10T00:00:00"/>
        <d v="2022-03-09T00:00:00"/>
        <d v="2017-01-08T00:00:00"/>
        <d v="2022-03-21T00:00:00"/>
        <d v="2022-03-24T00:00:00"/>
        <d v="2022-03-31T00:00:00"/>
        <d v="2021-03-11T00:00:00"/>
        <d v="2022-04-12T00:00:00"/>
        <d v="2023-03-14T00:00:00"/>
        <d v="2021-11-29T00:00:00"/>
        <d v="2022-04-23T00:00:00"/>
        <d v="2022-04-28T00:00:00"/>
        <d v="2022-05-01T00:00:00"/>
        <d v="2022-05-04T00:00:00"/>
        <d v="2022-05-06T00:00:00"/>
        <d v="2022-05-11T00:00:00"/>
        <d v="2022-05-16T00:00:00"/>
        <d v="2023-08-28T00:00:00"/>
        <d v="2022-06-03T00:00:00"/>
        <d v="2022-06-04T00:00:00"/>
        <d v="2022-06-11T00:00:00"/>
        <d v="2020-10-19T00:00:00"/>
        <d v="2022-06-22T00:00:00"/>
        <d v="2022-06-27T00:00:00"/>
        <d v="2022-06-30T00:00:00"/>
        <d v="2022-07-10T00:00:00"/>
        <d v="2022-07-15T00:00:00"/>
        <d v="2022-07-28T00:00:00"/>
        <d v="2015-02-17T00:00:00"/>
        <d v="2022-08-04T00:00:00"/>
        <d v="2022-08-06T00:00:00"/>
        <d v="2017-05-12T00:00:00"/>
        <d v="2022-08-13T00:00:00"/>
        <d v="2018-11-11T00:00:00"/>
        <d v="2022-08-16T00:00:00"/>
        <d v="2017-06-10T00:00:00"/>
        <d v="2022-08-20T00:00:00"/>
        <d v="2015-06-22T00:00:00"/>
        <d v="2015-08-28T00:00:00"/>
        <d v="2022-09-08T00:00:00"/>
        <d v="2022-09-25T00:00:00"/>
        <d v="2022-07-24T00:00:00"/>
        <d v="2022-10-02T00:00:00"/>
        <d v="2016-05-27T00:00:00"/>
        <d v="2016-08-27T00:00:00"/>
        <d v="2019-08-09T00:00:00"/>
        <d v="2018-04-29T00:00:00"/>
        <d v="2022-10-31T00:00:00"/>
        <d v="2022-11-01T00:00:00"/>
        <d v="2020-05-16T00:00:00"/>
        <d v="2022-11-14T00:00:00"/>
        <d v="2022-11-15T00:00:00"/>
        <d v="2023-01-06T00:00:00"/>
        <d v="2017-09-18T00:00:00"/>
        <d v="2022-11-30T00:00:00"/>
        <d v="2022-12-01T00:00:00"/>
        <d v="2019-10-01T00:00:00"/>
        <d v="2022-12-03T00:00:00"/>
        <d v="2022-12-23T00:00:00"/>
        <d v="2021-12-17T00:00:00"/>
        <d v="2021-08-23T00:00:00"/>
        <d v="2024-08-12T00:00:00"/>
        <d v="2022-08-03T00:00:00"/>
        <d v="2019-06-02T00:00:00"/>
        <d v="2023-01-13T00:00:00"/>
        <d v="2016-10-26T00:00:00"/>
        <d v="2023-01-16T00:00:00"/>
        <d v="2016-06-07T00:00:00"/>
        <d v="2023-01-24T00:00:00"/>
        <d v="2021-12-23T00:00:00"/>
        <d v="2023-01-28T00:00:00"/>
        <d v="2022-08-30T00:00:00"/>
        <d v="2023-02-02T00:00:00"/>
        <d v="2015-09-02T00:00:00"/>
        <d v="2015-08-23T00:00:00"/>
        <d v="2023-02-07T00:00:00"/>
        <d v="2023-02-11T00:00:00"/>
        <d v="2017-01-04T00:00:00"/>
        <d v="2019-04-26T00:00:00"/>
        <d v="2015-01-17T00:00:00"/>
        <d v="2021-07-30T00:00:00"/>
        <d v="2021-01-23T00:00:00"/>
        <d v="2023-03-13T00:00:00"/>
        <d v="2022-02-14T00:00:00"/>
        <d v="2023-03-15T00:00:00"/>
        <d v="2023-03-26T00:00:00"/>
        <d v="2023-03-27T00:00:00"/>
        <d v="2023-03-31T00:00:00"/>
        <d v="2023-04-02T00:00:00"/>
        <d v="2023-04-10T00:00:00"/>
        <d v="2023-04-27T00:00:00"/>
        <d v="2020-11-09T00:00:00"/>
        <d v="2022-12-30T00:00:00"/>
        <d v="2023-05-15T00:00:00"/>
        <d v="2016-01-26T00:00:00"/>
        <d v="2023-05-20T00:00:00"/>
        <d v="2020-10-21T00:00:00"/>
        <d v="2024-04-15T00:00:00"/>
        <d v="2023-09-11T00:00:00"/>
        <d v="2022-10-11T00:00:00"/>
        <d v="2023-05-29T00:00:00"/>
        <d v="2023-06-14T00:00:00"/>
        <d v="2015-04-07T00:00:00"/>
        <d v="2024-10-04T00:00:00"/>
        <d v="2023-06-28T00:00:00"/>
        <d v="2023-07-03T00:00:00"/>
        <d v="2023-07-06T00:00:00"/>
        <d v="2023-07-07T00:00:00"/>
        <d v="2018-05-15T00:00:00"/>
        <d v="2023-07-15T00:00:00"/>
        <d v="2023-07-17T00:00:00"/>
        <d v="2023-07-29T00:00:00"/>
        <d v="2023-07-31T00:00:00"/>
        <d v="2023-05-06T00:00:00"/>
        <d v="2023-08-05T00:00:00"/>
        <d v="2023-04-15T00:00:00"/>
        <d v="2023-08-19T00:00:00"/>
        <d v="2023-08-21T00:00:00"/>
        <d v="2015-04-24T00:00:00"/>
        <d v="2023-08-24T00:00:00"/>
        <d v="2020-06-06T00:00:00"/>
        <d v="2017-10-21T00:00:00"/>
        <d v="2020-07-06T00:00:00"/>
        <d v="2018-05-29T00:00:00"/>
        <d v="2023-12-23T00:00:00"/>
        <d v="2018-11-28T00:00:00"/>
        <d v="2017-04-23T00:00:00"/>
        <d v="2023-09-27T00:00:00"/>
        <d v="2023-09-29T00:00:00"/>
        <d v="2023-05-13T00:00:00"/>
        <d v="2024-09-29T00:00:00"/>
        <d v="2023-10-08T00:00:00"/>
        <d v="2023-10-10T00:00:00"/>
        <d v="2023-10-13T00:00:00"/>
        <d v="2023-10-14T00:00:00"/>
        <d v="2021-08-25T00:00:00"/>
        <d v="2023-10-31T00:00:00"/>
        <d v="2015-02-18T00:00:00"/>
        <d v="2022-02-17T00:00:00"/>
        <d v="2024-03-06T00:00:00"/>
        <d v="2024-07-24T00:00:00"/>
        <d v="2015-02-03T00:00:00"/>
        <d v="2023-11-21T00:00:00"/>
        <d v="2024-11-15T00:00:00"/>
        <d v="2023-11-28T00:00:00"/>
        <d v="2023-12-03T00:00:00"/>
        <d v="2016-12-16T00:00:00"/>
        <d v="2020-05-28T00:00:00"/>
        <d v="2017-12-24T00:00:00"/>
        <d v="2023-12-11T00:00:00"/>
        <d v="2018-01-21T00:00:00"/>
        <d v="2023-12-16T00:00:00"/>
        <d v="2023-12-20T00:00:00"/>
        <d v="2023-11-03T00:00:00"/>
        <d v="2023-12-25T00:00:00"/>
        <d v="2020-08-13T00:00:00"/>
        <d v="2023-12-29T00:00:00"/>
        <d v="2024-01-01T00:00:00"/>
        <d v="2015-09-04T00:00:00"/>
        <d v="2018-10-29T00:00:00"/>
        <d v="2024-06-02T00:00:00"/>
        <d v="2024-01-16T00:00:00"/>
        <d v="2024-01-18T00:00:00"/>
        <d v="2021-08-11T00:00:00"/>
        <d v="2019-09-14T00:00:00"/>
        <d v="2024-05-01T00:00:00"/>
        <d v="2024-01-28T00:00:00"/>
        <d v="2020-10-10T00:00:00"/>
        <d v="2024-02-24T00:00:00"/>
        <d v="2024-03-02T00:00:00"/>
        <d v="2019-12-14T00:00:00"/>
        <d v="2016-08-04T00:00:00"/>
        <d v="2019-07-08T00:00:00"/>
        <d v="2023-01-12T00:00:00"/>
        <d v="2016-09-08T00:00:00"/>
        <d v="2024-03-18T00:00:00"/>
        <d v="2021-10-25T00:00:00"/>
        <d v="2024-03-20T00:00:00"/>
        <d v="2024-03-28T00:00:00"/>
        <d v="2020-07-01T00:00:00"/>
        <d v="2024-04-07T00:00:00"/>
        <d v="2019-12-11T00:00:00"/>
        <d v="2024-04-09T00:00:00"/>
        <d v="2023-09-13T00:00:00"/>
        <d v="2024-04-13T00:00:00"/>
        <d v="2024-04-21T00:00:00"/>
        <d v="2024-04-24T00:00:00"/>
        <d v="2019-04-11T00:00:00"/>
        <d v="2020-09-15T00:00:00"/>
        <d v="2021-08-18T00:00:00"/>
        <d v="2017-10-20T00:00:00"/>
        <d v="2024-05-15T00:00:00"/>
        <d v="2024-12-10T00:00:00"/>
        <d v="2022-02-03T00:00:00"/>
        <d v="2023-11-08T00:00:00"/>
        <d v="2019-10-09T00:00:00"/>
        <d v="2024-05-28T00:00:00"/>
        <d v="2023-01-11T00:00:00"/>
        <d v="2019-09-05T00:00:00"/>
        <d v="2018-09-21T00:00:00"/>
        <d v="2016-06-01T00:00:00"/>
        <d v="2018-05-20T00:00:00"/>
        <d v="2018-07-24T00:00:00"/>
        <d v="2024-06-18T00:00:00"/>
        <d v="2024-06-20T00:00:00"/>
        <d v="2024-06-23T00:00:00"/>
        <d v="2024-06-27T00:00:00"/>
        <d v="2015-10-05T00:00:00"/>
        <d v="2015-05-19T00:00:00"/>
        <d v="2020-06-03T00:00:00"/>
        <d v="2024-07-25T00:00:00"/>
        <d v="2018-10-26T00:00:00"/>
        <d v="2024-08-29T00:00:00"/>
        <d v="2023-10-25T00:00:00"/>
        <d v="2021-06-23T00:00:00"/>
        <d v="2024-09-27T00:00:00"/>
        <d v="2015-12-28T00:00:00"/>
        <d v="2017-03-07T00:00:00"/>
        <d v="2015-12-04T00:00:00"/>
        <d v="2024-10-08T00:00:00"/>
        <d v="2024-10-09T00:00:00"/>
        <d v="2016-05-02T00:00:00"/>
        <d v="2018-02-15T00:00:00"/>
        <d v="2024-10-19T00:00:00"/>
        <d v="2024-10-20T00:00:00"/>
        <d v="2024-10-21T00:00:00"/>
        <d v="2024-10-22T00:00:00"/>
        <d v="2019-05-23T00:00:00"/>
        <d v="2024-11-02T00:00:00"/>
        <d v="2024-11-07T00:00:00"/>
        <d v="2024-11-09T00:00:00"/>
        <d v="2024-11-10T00:00:00"/>
        <d v="2024-11-22T00:00:00"/>
        <d v="2024-11-14T00:00:00"/>
        <d v="2024-11-17T00:00:00"/>
        <d v="2021-11-04T00:00:00"/>
        <d v="2016-04-02T00:00:00"/>
        <d v="2024-11-30T00:00:00"/>
        <d v="2017-07-20T00:00:00"/>
        <d v="2024-12-03T00:00:00"/>
        <d v="2024-12-04T00:00:00"/>
        <d v="2021-05-27T00:00:00"/>
        <d v="2024-12-14T00:00:00"/>
        <d v="2024-12-15T00:00:00"/>
        <d v="2024-12-17T00:00:00"/>
        <d v="2023-06-20T00:00:00"/>
        <d v="2020-07-20T00:00:00"/>
        <d v="2024-06-17T00:00:00"/>
        <d v="2023-01-27T00:00:00"/>
        <d v="2024-12-29T00:00:00"/>
        <m/>
      </sharedItems>
      <fieldGroup base="1">
        <rangePr groupBy="days" startDate="2015-01-02T00:00:00" endDate="2024-12-30T00:00:00"/>
        <groupItems count="368">
          <s v="(en blanco)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30/12/2024"/>
        </groupItems>
      </fieldGroup>
    </cacheField>
    <cacheField name="AÑO" numFmtId="166">
      <sharedItems containsNonDate="0" containsDate="1" containsString="0" containsBlank="1" minDate="2015-01-02T00:00:00" maxDate="2024-12-30T00:00:00" count="886">
        <d v="2023-10-29T00:00:00"/>
        <d v="2017-03-15T00:00:00"/>
        <d v="2015-01-04T00:00:00"/>
        <d v="2022-10-22T00:00:00"/>
        <d v="2015-01-12T00:00:00"/>
        <d v="2015-01-13T00:00:00"/>
        <d v="2023-10-04T00:00:00"/>
        <d v="2015-01-18T00:00:00"/>
        <d v="2019-08-08T00:00:00"/>
        <d v="2023-08-26T00:00:00"/>
        <d v="2015-02-05T00:00:00"/>
        <d v="2015-02-13T00:00:00"/>
        <d v="2017-05-18T00:00:00"/>
        <d v="2020-02-02T00:00:00"/>
        <d v="2021-06-08T00:00:00"/>
        <d v="2015-02-26T00:00:00"/>
        <d v="2015-03-02T00:00:00"/>
        <d v="2023-11-26T00:00:00"/>
        <d v="2020-08-14T00:00:00"/>
        <d v="2015-03-26T00:00:00"/>
        <d v="2015-03-30T00:00:00"/>
        <d v="2017-01-01T00:00:00"/>
        <d v="2015-07-16T00:00:00"/>
        <d v="2015-04-16T00:00:00"/>
        <d v="2023-04-03T00:00:00"/>
        <d v="2017-04-13T00:00:00"/>
        <d v="2021-05-04T00:00:00"/>
        <d v="2015-04-26T00:00:00"/>
        <d v="2024-11-13T00:00:00"/>
        <d v="2015-05-06T00:00:00"/>
        <d v="2015-05-12T00:00:00"/>
        <d v="2015-05-14T00:00:00"/>
        <d v="2019-02-03T00:00:00"/>
        <d v="2019-06-15T00:00:00"/>
        <d v="2019-08-12T00:00:00"/>
        <d v="2015-06-27T00:00:00"/>
        <d v="2015-05-30T00:00:00"/>
        <d v="2015-05-31T00:00:00"/>
        <d v="2015-06-03T00:00:00"/>
        <d v="2024-03-12T00:00:00"/>
        <d v="2023-06-23T00:00:00"/>
        <d v="2015-12-18T00:00:00"/>
        <d v="2015-06-10T00:00:00"/>
        <d v="2017-06-25T00:00:00"/>
        <d v="2016-07-25T00:00:00"/>
        <d v="2015-07-05T00:00:00"/>
        <d v="2015-07-10T00:00:00"/>
        <d v="2019-07-23T00:00:00"/>
        <d v="2015-07-14T00:00:00"/>
        <d v="2020-11-15T00:00:00"/>
        <d v="2015-07-26T00:00:00"/>
        <d v="2023-05-18T00:00:00"/>
        <d v="2015-08-10T00:00:00"/>
        <d v="2015-08-13T00:00:00"/>
        <d v="2020-10-12T00:00:00"/>
        <d v="2015-08-30T00:00:00"/>
        <d v="2015-08-31T00:00:00"/>
        <d v="2015-09-01T00:00:00"/>
        <d v="2021-05-21T00:00:00"/>
        <d v="2020-05-03T00:00:00"/>
        <d v="2015-03-25T00:00:00"/>
        <d v="2017-09-01T00:00:00"/>
        <d v="2019-09-17T00:00:00"/>
        <d v="2017-08-05T00:00:00"/>
        <d v="2015-09-15T00:00:00"/>
        <d v="2015-09-22T00:00:00"/>
        <d v="2015-09-25T00:00:00"/>
        <d v="2015-09-26T00:00:00"/>
        <d v="2015-06-05T00:00:00"/>
        <d v="2015-09-09T00:00:00"/>
        <d v="2024-05-02T00:00:00"/>
        <d v="2015-10-20T00:00:00"/>
        <d v="2015-10-23T00:00:00"/>
        <d v="2024-12-23T00:00:00"/>
        <d v="2020-07-05T00:00:00"/>
        <d v="2024-04-26T00:00:00"/>
        <d v="2018-01-25T00:00:00"/>
        <d v="2019-01-07T00:00:00"/>
        <d v="2024-09-15T00:00:00"/>
        <d v="2015-12-26T00:00:00"/>
        <d v="2015-12-27T00:00:00"/>
        <d v="2022-09-05T00:00:00"/>
        <d v="2017-10-12T00:00:00"/>
        <d v="2023-10-18T00:00:00"/>
        <d v="2015-11-16T00:00:00"/>
        <d v="2016-02-01T00:00:00"/>
        <d v="2016-02-02T00:00:00"/>
        <d v="2016-02-03T00:00:00"/>
        <d v="2016-02-08T00:00:00"/>
        <d v="2022-08-12T00:00:00"/>
        <d v="2016-02-18T00:00:00"/>
        <d v="2015-05-24T00:00:00"/>
        <d v="2019-05-01T00:00:00"/>
        <d v="2016-09-26T00:00:00"/>
        <d v="2020-05-17T00:00:00"/>
        <d v="2016-03-10T00:00:00"/>
        <d v="2016-03-16T00:00:00"/>
        <d v="2024-12-02T00:00:00"/>
        <d v="2020-02-12T00:00:00"/>
        <d v="2016-03-31T00:00:00"/>
        <d v="2024-03-03T00:00:00"/>
        <d v="2016-04-05T00:00:00"/>
        <d v="2016-04-07T00:00:00"/>
        <d v="2016-04-12T00:00:00"/>
        <d v="2016-04-13T00:00:00"/>
        <d v="2016-04-20T00:00:00"/>
        <d v="2016-04-21T00:00:00"/>
        <d v="2016-10-03T00:00:00"/>
        <d v="2016-04-25T00:00:00"/>
        <d v="2023-11-18T00:00:00"/>
        <d v="2019-04-02T00:00:00"/>
        <d v="2016-05-07T00:00:00"/>
        <d v="2016-05-11T00:00:00"/>
        <d v="2016-05-13T00:00:00"/>
        <d v="2016-05-17T00:00:00"/>
        <d v="2021-12-21T00:00:00"/>
        <d v="2016-09-16T00:00:00"/>
        <d v="2016-05-28T00:00:00"/>
        <d v="2016-05-31T00:00:00"/>
        <d v="2019-01-14T00:00:00"/>
        <d v="2024-10-12T00:00:00"/>
        <d v="2016-06-04T00:00:00"/>
        <d v="2020-02-27T00:00:00"/>
        <d v="2016-06-08T00:00:00"/>
        <d v="2017-11-19T00:00:00"/>
        <d v="2016-06-10T00:00:00"/>
        <d v="2021-05-12T00:00:00"/>
        <d v="2018-03-28T00:00:00"/>
        <d v="2020-01-24T00:00:00"/>
        <d v="2016-07-04T00:00:00"/>
        <d v="2016-06-16T00:00:00"/>
        <d v="2016-07-11T00:00:00"/>
        <d v="2016-07-12T00:00:00"/>
        <d v="2022-10-18T00:00:00"/>
        <d v="2018-05-23T00:00:00"/>
        <d v="2016-07-27T00:00:00"/>
        <d v="2024-05-20T00:00:00"/>
        <d v="2023-05-27T00:00:00"/>
        <d v="2016-06-17T00:00:00"/>
        <d v="2016-08-28T00:00:00"/>
        <d v="2019-10-24T00:00:00"/>
        <d v="2016-09-06T00:00:00"/>
        <d v="2021-04-15T00:00:00"/>
        <d v="2022-03-15T00:00:00"/>
        <d v="2024-03-08T00:00:00"/>
        <d v="2016-09-19T00:00:00"/>
        <d v="2017-07-05T00:00:00"/>
        <d v="2016-09-27T00:00:00"/>
        <d v="2019-10-19T00:00:00"/>
        <d v="2016-10-04T00:00:00"/>
        <d v="2016-10-07T00:00:00"/>
        <d v="2016-10-09T00:00:00"/>
        <d v="2016-10-14T00:00:00"/>
        <d v="2016-10-22T00:00:00"/>
        <d v="2020-05-05T00:00:00"/>
        <d v="2023-11-14T00:00:00"/>
        <d v="2022-11-08T00:00:00"/>
        <d v="2016-11-26T00:00:00"/>
        <d v="2015-04-04T00:00:00"/>
        <d v="2016-12-05T00:00:00"/>
        <d v="2015-05-03T00:00:00"/>
        <d v="2018-06-12T00:00:00"/>
        <d v="2023-08-04T00:00:00"/>
        <d v="2016-12-26T00:00:00"/>
        <d v="2016-12-27T00:00:00"/>
        <d v="2019-01-23T00:00:00"/>
        <d v="2017-05-20T00:00:00"/>
        <d v="2017-01-02T00:00:00"/>
        <d v="2019-06-30T00:00:00"/>
        <d v="2024-05-29T00:00:00"/>
        <d v="2017-01-05T00:00:00"/>
        <d v="2017-01-07T00:00:00"/>
        <d v="2024-05-23T00:00:00"/>
        <d v="2017-01-25T00:00:00"/>
        <d v="2020-07-18T00:00:00"/>
        <d v="2018-08-31T00:00:00"/>
        <d v="2017-02-14T00:00:00"/>
        <d v="2017-02-16T00:00:00"/>
        <d v="2017-02-17T00:00:00"/>
        <d v="2017-02-25T00:00:00"/>
        <d v="2017-03-02T00:00:00"/>
        <d v="2017-03-04T00:00:00"/>
        <d v="2022-01-15T00:00:00"/>
        <d v="2015-06-04T00:00:00"/>
        <d v="2023-12-04T00:00:00"/>
        <d v="2024-07-02T00:00:00"/>
        <d v="2017-03-23T00:00:00"/>
        <d v="2017-04-06T00:00:00"/>
        <d v="2017-04-08T00:00:00"/>
        <d v="2018-02-27T00:00:00"/>
        <d v="2017-04-11T00:00:00"/>
        <d v="2017-04-12T00:00:00"/>
        <d v="2020-05-07T00:00:00"/>
        <d v="2017-04-17T00:00:00"/>
        <d v="2017-04-19T00:00:00"/>
        <d v="2018-10-21T00:00:00"/>
        <d v="2024-09-03T00:00:00"/>
        <d v="2017-04-28T00:00:00"/>
        <d v="2017-05-02T00:00:00"/>
        <d v="2022-11-29T00:00:00"/>
        <d v="2019-09-29T00:00:00"/>
        <d v="2017-05-16T00:00:00"/>
        <d v="2015-09-11T00:00:00"/>
        <d v="2022-09-01T00:00:00"/>
        <d v="2015-07-29T00:00:00"/>
        <d v="2017-05-25T00:00:00"/>
        <d v="2017-05-27T00:00:00"/>
        <d v="2024-12-22T00:00:00"/>
        <d v="2017-09-10T00:00:00"/>
        <d v="2023-08-10T00:00:00"/>
        <d v="2017-06-21T00:00:00"/>
        <d v="2015-07-12T00:00:00"/>
        <d v="2017-06-28T00:00:00"/>
        <d v="2018-05-26T00:00:00"/>
        <d v="2017-06-29T00:00:00"/>
        <d v="2023-07-16T00:00:00"/>
        <d v="2019-04-04T00:00:00"/>
        <d v="2017-07-25T00:00:00"/>
        <d v="2024-01-14T00:00:00"/>
        <d v="2018-01-28T00:00:00"/>
        <d v="2017-08-18T00:00:00"/>
        <d v="2017-08-21T00:00:00"/>
        <d v="2016-02-24T00:00:00"/>
        <d v="2016-07-26T00:00:00"/>
        <d v="2022-01-05T00:00:00"/>
        <d v="2017-09-06T00:00:00"/>
        <d v="2017-09-08T00:00:00"/>
        <d v="2022-06-20T00:00:00"/>
        <d v="2017-09-14T00:00:00"/>
        <d v="2021-09-03T00:00:00"/>
        <d v="2020-03-21T00:00:00"/>
        <d v="2018-07-02T00:00:00"/>
        <d v="2017-09-26T00:00:00"/>
        <d v="2017-10-03T00:00:00"/>
        <d v="2017-10-06T00:00:00"/>
        <d v="2017-10-10T00:00:00"/>
        <d v="2019-07-29T00:00:00"/>
        <d v="2017-10-18T00:00:00"/>
        <d v="2023-08-23T00:00:00"/>
        <d v="2015-01-02T00:00:00"/>
        <d v="2017-10-28T00:00:00"/>
        <d v="2017-10-30T00:00:00"/>
        <d v="2019-06-09T00:00:00"/>
        <d v="2022-11-17T00:00:00"/>
        <d v="2020-01-23T00:00:00"/>
        <d v="2017-11-04T00:00:00"/>
        <d v="2017-11-10T00:00:00"/>
        <d v="2022-04-18T00:00:00"/>
        <d v="2017-11-18T00:00:00"/>
        <d v="2023-09-17T00:00:00"/>
        <d v="2017-11-26T00:00:00"/>
        <d v="2017-12-06T00:00:00"/>
        <d v="2024-12-25T00:00:00"/>
        <d v="2017-12-27T00:00:00"/>
        <d v="2017-12-29T00:00:00"/>
        <d v="2017-12-30T00:00:00"/>
        <d v="2015-01-03T00:00:00"/>
        <d v="2022-04-17T00:00:00"/>
        <d v="2018-01-16T00:00:00"/>
        <d v="2023-06-26T00:00:00"/>
        <d v="2018-07-11T00:00:00"/>
        <d v="2020-10-18T00:00:00"/>
        <d v="2023-01-19T00:00:00"/>
        <d v="2018-01-27T00:00:00"/>
        <d v="2022-08-19T00:00:00"/>
        <d v="2018-02-06T00:00:00"/>
        <d v="2018-02-07T00:00:00"/>
        <d v="2018-08-12T00:00:00"/>
        <d v="2018-02-09T00:00:00"/>
        <d v="2021-02-26T00:00:00"/>
        <d v="2019-05-28T00:00:00"/>
        <d v="2024-01-21T00:00:00"/>
        <d v="2024-04-08T00:00:00"/>
        <d v="2018-03-05T00:00:00"/>
        <d v="2018-03-08T00:00:00"/>
        <d v="2018-03-16T00:00:00"/>
        <d v="2018-03-21T00:00:00"/>
        <d v="2015-12-16T00:00:00"/>
        <d v="2018-04-09T00:00:00"/>
        <d v="2018-04-22T00:00:00"/>
        <d v="2018-05-05T00:00:00"/>
        <d v="2018-05-13T00:00:00"/>
        <d v="2020-09-03T00:00:00"/>
        <d v="2018-05-14T00:00:00"/>
        <d v="2017-11-01T00:00:00"/>
        <d v="2019-08-05T00:00:00"/>
        <d v="2018-09-07T00:00:00"/>
        <d v="2016-01-05T00:00:00"/>
        <d v="2019-04-06T00:00:00"/>
        <d v="2018-06-11T00:00:00"/>
        <d v="2024-01-26T00:00:00"/>
        <d v="2018-06-13T00:00:00"/>
        <d v="2023-12-28T00:00:00"/>
        <d v="2018-06-18T00:00:00"/>
        <d v="2021-05-22T00:00:00"/>
        <d v="2021-10-26T00:00:00"/>
        <d v="2020-04-27T00:00:00"/>
        <d v="2021-01-05T00:00:00"/>
        <d v="2018-07-23T00:00:00"/>
        <d v="2019-11-03T00:00:00"/>
        <d v="2024-03-19T00:00:00"/>
        <d v="2018-07-29T00:00:00"/>
        <d v="2021-04-21T00:00:00"/>
        <d v="2018-08-03T00:00:00"/>
        <d v="2021-02-19T00:00:00"/>
        <d v="2018-08-06T00:00:00"/>
        <d v="2019-08-15T00:00:00"/>
        <d v="2015-04-23T00:00:00"/>
        <d v="2018-08-26T00:00:00"/>
        <d v="2018-08-29T00:00:00"/>
        <d v="2018-12-29T00:00:00"/>
        <d v="2018-09-02T00:00:00"/>
        <d v="2023-01-31T00:00:00"/>
        <d v="2018-09-15T00:00:00"/>
        <d v="2018-09-18T00:00:00"/>
        <d v="2022-01-22T00:00:00"/>
        <d v="2017-08-17T00:00:00"/>
        <d v="2015-09-29T00:00:00"/>
        <d v="2018-10-05T00:00:00"/>
        <d v="2018-10-09T00:00:00"/>
        <d v="2018-10-12T00:00:00"/>
        <d v="2019-08-31T00:00:00"/>
        <d v="2015-06-20T00:00:00"/>
        <d v="2018-10-28T00:00:00"/>
        <d v="2020-01-17T00:00:00"/>
        <d v="2018-11-08T00:00:00"/>
        <d v="2023-02-24T00:00:00"/>
        <d v="2023-09-22T00:00:00"/>
        <d v="2018-11-20T00:00:00"/>
        <d v="2018-11-23T00:00:00"/>
        <d v="2024-11-21T00:00:00"/>
        <d v="2018-12-01T00:00:00"/>
        <d v="2019-11-15T00:00:00"/>
        <d v="2015-05-17T00:00:00"/>
        <d v="2019-07-13T00:00:00"/>
        <d v="2018-12-12T00:00:00"/>
        <d v="2018-12-22T00:00:00"/>
        <d v="2023-02-04T00:00:00"/>
        <d v="2024-01-07T00:00:00"/>
        <d v="2024-10-03T00:00:00"/>
        <d v="2016-06-03T00:00:00"/>
        <d v="2023-07-13T00:00:00"/>
        <d v="2019-01-24T00:00:00"/>
        <d v="2019-06-20T00:00:00"/>
        <d v="2019-01-28T00:00:00"/>
        <d v="2017-05-07T00:00:00"/>
        <d v="2020-03-07T00:00:00"/>
        <d v="2019-02-09T00:00:00"/>
        <d v="2019-02-10T00:00:00"/>
        <d v="2016-12-07T00:00:00"/>
        <d v="2019-02-26T00:00:00"/>
        <d v="2019-02-27T00:00:00"/>
        <d v="2019-03-06T00:00:00"/>
        <d v="2019-03-08T00:00:00"/>
        <d v="2019-03-16T00:00:00"/>
        <d v="2019-03-19T00:00:00"/>
        <d v="2019-03-22T00:00:00"/>
        <d v="2021-06-03T00:00:00"/>
        <d v="2019-03-28T00:00:00"/>
        <d v="2019-03-29T00:00:00"/>
        <d v="2023-05-25T00:00:00"/>
        <d v="2020-05-26T00:00:00"/>
        <d v="2018-07-09T00:00:00"/>
        <d v="2019-04-05T00:00:00"/>
        <d v="2018-12-02T00:00:00"/>
        <d v="2016-08-19T00:00:00"/>
        <d v="2019-04-20T00:00:00"/>
        <d v="2019-04-25T00:00:00"/>
        <d v="2024-10-29T00:00:00"/>
        <d v="2021-09-09T00:00:00"/>
        <d v="2019-03-25T00:00:00"/>
        <d v="2019-04-30T00:00:00"/>
        <d v="2019-05-02T00:00:00"/>
        <d v="2019-05-03T00:00:00"/>
        <d v="2019-05-04T00:00:00"/>
        <d v="2019-05-08T00:00:00"/>
        <d v="2019-05-10T00:00:00"/>
        <d v="2016-05-05T00:00:00"/>
        <d v="2019-05-24T00:00:00"/>
        <d v="2019-05-26T00:00:00"/>
        <d v="2019-05-29T00:00:00"/>
        <d v="2018-11-15T00:00:00"/>
        <d v="2024-06-10T00:00:00"/>
        <d v="2018-02-08T00:00:00"/>
        <d v="2017-11-11T00:00:00"/>
        <d v="2015-02-23T00:00:00"/>
        <d v="2019-06-29T00:00:00"/>
        <d v="2020-11-14T00:00:00"/>
        <d v="2024-09-17T00:00:00"/>
        <d v="2019-07-02T00:00:00"/>
        <d v="2019-07-04T00:00:00"/>
        <d v="2019-07-06T00:00:00"/>
        <d v="2018-02-21T00:00:00"/>
        <d v="2019-07-10T00:00:00"/>
        <d v="2021-01-07T00:00:00"/>
        <d v="2019-07-22T00:00:00"/>
        <d v="2016-06-29T00:00:00"/>
        <d v="2019-09-01T00:00:00"/>
        <d v="2024-06-03T00:00:00"/>
        <d v="2022-04-02T00:00:00"/>
        <d v="2019-06-18T00:00:00"/>
        <d v="2019-08-07T00:00:00"/>
        <d v="2019-02-14T00:00:00"/>
        <d v="2024-02-01T00:00:00"/>
        <d v="2016-03-01T00:00:00"/>
        <d v="2017-11-23T00:00:00"/>
        <d v="2020-12-03T00:00:00"/>
        <d v="2019-08-20T00:00:00"/>
        <d v="2019-08-21T00:00:00"/>
        <d v="2019-08-24T00:00:00"/>
        <d v="2019-08-27T00:00:00"/>
        <d v="2019-08-13T00:00:00"/>
        <d v="2015-09-03T00:00:00"/>
        <d v="2024-10-01T00:00:00"/>
        <d v="2019-09-07T00:00:00"/>
        <d v="2019-09-09T00:00:00"/>
        <d v="2019-09-11T00:00:00"/>
        <d v="2021-02-05T00:00:00"/>
        <d v="2019-09-16T00:00:00"/>
        <d v="2017-01-27T00:00:00"/>
        <d v="2019-09-20T00:00:00"/>
        <d v="2019-09-27T00:00:00"/>
        <d v="2019-04-29T00:00:00"/>
        <d v="2019-09-30T00:00:00"/>
        <d v="2018-08-10T00:00:00"/>
        <d v="2019-10-04T00:00:00"/>
        <d v="2020-06-21T00:00:00"/>
        <d v="2019-10-10T00:00:00"/>
        <d v="2016-01-11T00:00:00"/>
        <d v="2019-10-16T00:00:00"/>
        <d v="2016-05-19T00:00:00"/>
        <d v="2019-10-20T00:00:00"/>
        <d v="2016-12-02T00:00:00"/>
        <d v="2019-10-27T00:00:00"/>
        <d v="2021-10-01T00:00:00"/>
        <d v="2019-11-07T00:00:00"/>
        <d v="2019-11-13T00:00:00"/>
        <d v="2018-12-24T00:00:00"/>
        <d v="2019-11-17T00:00:00"/>
        <d v="2016-02-29T00:00:00"/>
        <d v="2019-11-21T00:00:00"/>
        <d v="2019-11-26T00:00:00"/>
        <d v="2019-11-28T00:00:00"/>
        <d v="2019-12-01T00:00:00"/>
        <d v="2019-12-02T00:00:00"/>
        <d v="2024-01-09T00:00:00"/>
        <d v="2017-04-25T00:00:00"/>
        <d v="2019-12-22T00:00:00"/>
        <d v="2017-09-20T00:00:00"/>
        <d v="2020-01-09T00:00:00"/>
        <d v="2020-01-14T00:00:00"/>
        <d v="2018-06-15T00:00:00"/>
        <d v="2020-01-19T00:00:00"/>
        <d v="2016-12-20T00:00:00"/>
        <d v="2020-07-28T00:00:00"/>
        <d v="2020-01-27T00:00:00"/>
        <d v="2020-01-31T00:00:00"/>
        <d v="2016-03-26T00:00:00"/>
        <d v="2020-02-06T00:00:00"/>
        <d v="2020-02-10T00:00:00"/>
        <d v="2024-12-28T00:00:00"/>
        <d v="2020-02-21T00:00:00"/>
        <d v="2020-02-26T00:00:00"/>
        <d v="2024-05-24T00:00:00"/>
        <d v="2020-03-01T00:00:00"/>
        <d v="2024-07-03T00:00:00"/>
        <d v="2020-03-18T00:00:00"/>
        <d v="2021-02-08T00:00:00"/>
        <d v="2020-03-26T00:00:00"/>
        <d v="2020-03-28T00:00:00"/>
        <d v="2020-04-03T00:00:00"/>
        <d v="2020-04-22T00:00:00"/>
        <d v="2024-07-22T00:00:00"/>
        <d v="2018-12-09T00:00:00"/>
        <d v="2023-05-28T00:00:00"/>
        <d v="2021-03-22T00:00:00"/>
        <d v="2020-05-13T00:00:00"/>
        <d v="2023-02-12T00:00:00"/>
        <d v="2021-10-23T00:00:00"/>
        <d v="2020-05-18T00:00:00"/>
        <d v="2020-05-20T00:00:00"/>
        <d v="2019-08-01T00:00:00"/>
        <d v="2022-01-07T00:00:00"/>
        <d v="2020-05-30T00:00:00"/>
        <d v="2023-11-10T00:00:00"/>
        <d v="2018-09-29T00:00:00"/>
        <d v="2020-06-07T00:00:00"/>
        <d v="2020-06-13T00:00:00"/>
        <d v="2020-06-15T00:00:00"/>
        <d v="2020-06-20T00:00:00"/>
        <d v="2020-06-08T00:00:00"/>
        <d v="2016-06-09T00:00:00"/>
        <d v="2023-06-16T00:00:00"/>
        <d v="2020-07-15T00:00:00"/>
        <d v="2023-10-02T00:00:00"/>
        <d v="2016-12-15T00:00:00"/>
        <d v="2024-11-26T00:00:00"/>
        <d v="2020-08-06T00:00:00"/>
        <d v="2022-08-15T00:00:00"/>
        <d v="2020-08-11T00:00:00"/>
        <d v="2020-08-12T00:00:00"/>
        <d v="2023-12-14T00:00:00"/>
        <d v="2020-08-19T00:00:00"/>
        <d v="2023-11-15T00:00:00"/>
        <d v="2020-09-01T00:00:00"/>
        <d v="2021-08-26T00:00:00"/>
        <d v="2017-02-09T00:00:00"/>
        <d v="2020-09-12T00:00:00"/>
        <d v="2023-03-03T00:00:00"/>
        <d v="2019-04-27T00:00:00"/>
        <d v="2018-01-23T00:00:00"/>
        <d v="2020-10-16T00:00:00"/>
        <d v="2022-02-11T00:00:00"/>
        <d v="2024-04-12T00:00:00"/>
        <d v="2020-10-26T00:00:00"/>
        <d v="2020-10-30T00:00:00"/>
        <d v="2020-11-03T00:00:00"/>
        <d v="2020-11-04T00:00:00"/>
        <d v="2020-11-07T00:00:00"/>
        <d v="2024-01-02T00:00:00"/>
        <d v="2020-11-13T00:00:00"/>
        <d v="2019-01-19T00:00:00"/>
        <d v="2016-09-11T00:00:00"/>
        <d v="2020-11-18T00:00:00"/>
        <d v="2020-11-30T00:00:00"/>
        <d v="2020-12-01T00:00:00"/>
        <d v="2023-03-05T00:00:00"/>
        <d v="2020-12-07T00:00:00"/>
        <d v="2020-12-15T00:00:00"/>
        <d v="2016-12-28T00:00:00"/>
        <d v="2022-03-29T00:00:00"/>
        <d v="2020-12-28T00:00:00"/>
        <d v="2020-12-29T00:00:00"/>
        <d v="2023-12-01T00:00:00"/>
        <d v="2021-01-04T00:00:00"/>
        <d v="2016-03-17T00:00:00"/>
        <d v="2024-04-30T00:00:00"/>
        <d v="2015-10-03T00:00:00"/>
        <d v="2015-04-17T00:00:00"/>
        <d v="2016-03-02T00:00:00"/>
        <d v="2021-01-28T00:00:00"/>
        <d v="2021-01-31T00:00:00"/>
        <d v="2016-07-10T00:00:00"/>
        <d v="2021-02-16T00:00:00"/>
        <d v="2021-09-01T00:00:00"/>
        <d v="2021-02-22T00:00:00"/>
        <d v="2020-01-06T00:00:00"/>
        <d v="2021-03-03T00:00:00"/>
        <d v="2022-01-13T00:00:00"/>
        <d v="2022-12-28T00:00:00"/>
        <d v="2018-01-17T00:00:00"/>
        <d v="2021-03-29T00:00:00"/>
        <d v="2021-04-06T00:00:00"/>
        <d v="2018-08-01T00:00:00"/>
        <d v="2021-04-16T00:00:00"/>
        <d v="2019-10-15T00:00:00"/>
        <d v="2021-04-23T00:00:00"/>
        <d v="2021-04-27T00:00:00"/>
        <d v="2024-05-13T00:00:00"/>
        <d v="2021-05-10T00:00:00"/>
        <d v="2019-12-05T00:00:00"/>
        <d v="2019-01-27T00:00:00"/>
        <d v="2021-05-23T00:00:00"/>
        <d v="2019-06-17T00:00:00"/>
        <d v="2021-05-28T00:00:00"/>
        <d v="2021-06-01T00:00:00"/>
        <d v="2021-06-02T00:00:00"/>
        <d v="2022-10-21T00:00:00"/>
        <d v="2022-09-30T00:00:00"/>
        <d v="2021-06-13T00:00:00"/>
        <d v="2021-06-14T00:00:00"/>
        <d v="2021-06-18T00:00:00"/>
        <d v="2015-09-07T00:00:00"/>
        <d v="2021-06-24T00:00:00"/>
        <d v="2021-06-26T00:00:00"/>
        <d v="2021-07-01T00:00:00"/>
        <d v="2021-07-10T00:00:00"/>
        <d v="2021-07-13T00:00:00"/>
        <d v="2021-07-26T00:00:00"/>
        <d v="2021-07-29T00:00:00"/>
        <d v="2023-02-23T00:00:00"/>
        <d v="2021-08-01T00:00:00"/>
        <d v="2021-08-03T00:00:00"/>
        <d v="2021-08-05T00:00:00"/>
        <d v="2021-08-07T00:00:00"/>
        <d v="2016-02-13T00:00:00"/>
        <d v="2024-10-13T00:00:00"/>
        <d v="2021-08-21T00:00:00"/>
        <d v="2021-08-22T00:00:00"/>
        <d v="2023-09-01T00:00:00"/>
        <d v="2024-04-03T00:00:00"/>
        <d v="2020-12-31T00:00:00"/>
        <d v="2021-08-27T00:00:00"/>
        <d v="2024-05-07T00:00:00"/>
        <d v="2022-02-18T00:00:00"/>
        <d v="2021-09-06T00:00:00"/>
        <d v="2021-09-07T00:00:00"/>
        <d v="2022-05-25T00:00:00"/>
        <d v="2021-09-11T00:00:00"/>
        <d v="2021-09-21T00:00:00"/>
        <d v="2021-09-26T00:00:00"/>
        <d v="2021-09-29T00:00:00"/>
        <d v="2015-11-18T00:00:00"/>
        <d v="2021-10-05T00:00:00"/>
        <d v="2021-10-06T00:00:00"/>
        <d v="2021-10-16T00:00:00"/>
        <d v="2021-10-20T00:00:00"/>
        <d v="2021-10-21T00:00:00"/>
        <d v="2020-08-08T00:00:00"/>
        <d v="2017-06-04T00:00:00"/>
        <d v="2018-07-17T00:00:00"/>
        <d v="2021-10-29T00:00:00"/>
        <d v="2021-11-06T00:00:00"/>
        <d v="2023-01-15T00:00:00"/>
        <d v="2020-12-27T00:00:00"/>
        <d v="2021-11-14T00:00:00"/>
        <d v="2021-01-18T00:00:00"/>
        <d v="2021-12-09T00:00:00"/>
        <d v="2020-12-23T00:00:00"/>
        <d v="2024-01-23T00:00:00"/>
        <d v="2021-12-31T00:00:00"/>
        <d v="2018-01-08T00:00:00"/>
        <d v="2017-08-25T00:00:00"/>
        <d v="2021-03-25T00:00:00"/>
        <d v="2022-01-14T00:00:00"/>
        <d v="2017-03-19T00:00:00"/>
        <d v="2022-12-02T00:00:00"/>
        <d v="2022-01-28T00:00:00"/>
        <d v="2022-02-06T00:00:00"/>
        <d v="2017-09-19T00:00:00"/>
        <d v="2016-09-03T00:00:00"/>
        <d v="2022-02-15T00:00:00"/>
        <d v="2018-01-04T00:00:00"/>
        <d v="2022-02-19T00:00:00"/>
        <d v="2022-03-08T00:00:00"/>
        <d v="2021-01-10T00:00:00"/>
        <d v="2022-03-09T00:00:00"/>
        <d v="2017-01-08T00:00:00"/>
        <d v="2022-03-21T00:00:00"/>
        <d v="2022-03-24T00:00:00"/>
        <d v="2022-03-31T00:00:00"/>
        <d v="2021-03-11T00:00:00"/>
        <d v="2022-04-12T00:00:00"/>
        <d v="2023-03-14T00:00:00"/>
        <d v="2021-11-29T00:00:00"/>
        <d v="2022-04-23T00:00:00"/>
        <d v="2022-04-28T00:00:00"/>
        <d v="2022-05-01T00:00:00"/>
        <d v="2022-05-04T00:00:00"/>
        <d v="2022-05-06T00:00:00"/>
        <d v="2022-05-11T00:00:00"/>
        <d v="2022-05-16T00:00:00"/>
        <d v="2023-08-28T00:00:00"/>
        <d v="2022-06-03T00:00:00"/>
        <d v="2022-06-04T00:00:00"/>
        <d v="2022-06-11T00:00:00"/>
        <d v="2020-10-19T00:00:00"/>
        <d v="2022-06-22T00:00:00"/>
        <d v="2022-06-27T00:00:00"/>
        <d v="2022-06-30T00:00:00"/>
        <d v="2022-07-10T00:00:00"/>
        <d v="2022-07-15T00:00:00"/>
        <d v="2022-07-28T00:00:00"/>
        <d v="2015-02-17T00:00:00"/>
        <d v="2022-08-04T00:00:00"/>
        <d v="2022-08-06T00:00:00"/>
        <d v="2017-05-12T00:00:00"/>
        <d v="2022-08-13T00:00:00"/>
        <d v="2018-11-11T00:00:00"/>
        <d v="2022-08-16T00:00:00"/>
        <d v="2017-06-10T00:00:00"/>
        <d v="2022-08-20T00:00:00"/>
        <d v="2015-06-22T00:00:00"/>
        <d v="2015-08-28T00:00:00"/>
        <d v="2022-09-08T00:00:00"/>
        <d v="2022-09-25T00:00:00"/>
        <d v="2022-07-24T00:00:00"/>
        <d v="2022-10-02T00:00:00"/>
        <d v="2016-05-27T00:00:00"/>
        <d v="2016-08-27T00:00:00"/>
        <d v="2019-08-09T00:00:00"/>
        <d v="2018-04-29T00:00:00"/>
        <d v="2022-10-31T00:00:00"/>
        <d v="2022-11-01T00:00:00"/>
        <d v="2020-05-16T00:00:00"/>
        <d v="2022-11-14T00:00:00"/>
        <d v="2022-11-15T00:00:00"/>
        <d v="2023-01-06T00:00:00"/>
        <d v="2017-09-18T00:00:00"/>
        <d v="2022-11-30T00:00:00"/>
        <d v="2022-12-01T00:00:00"/>
        <d v="2019-10-01T00:00:00"/>
        <d v="2022-12-03T00:00:00"/>
        <d v="2022-12-23T00:00:00"/>
        <d v="2021-12-17T00:00:00"/>
        <d v="2021-08-23T00:00:00"/>
        <d v="2024-08-12T00:00:00"/>
        <d v="2022-08-03T00:00:00"/>
        <d v="2019-06-02T00:00:00"/>
        <d v="2023-01-13T00:00:00"/>
        <d v="2016-10-26T00:00:00"/>
        <d v="2023-01-16T00:00:00"/>
        <d v="2016-06-07T00:00:00"/>
        <d v="2023-01-24T00:00:00"/>
        <d v="2021-12-23T00:00:00"/>
        <d v="2023-01-28T00:00:00"/>
        <d v="2022-08-30T00:00:00"/>
        <d v="2023-02-02T00:00:00"/>
        <d v="2015-09-02T00:00:00"/>
        <d v="2015-08-23T00:00:00"/>
        <d v="2023-02-07T00:00:00"/>
        <d v="2023-02-11T00:00:00"/>
        <d v="2017-01-04T00:00:00"/>
        <d v="2019-04-26T00:00:00"/>
        <d v="2015-01-17T00:00:00"/>
        <d v="2021-07-30T00:00:00"/>
        <d v="2021-01-23T00:00:00"/>
        <d v="2023-03-13T00:00:00"/>
        <d v="2022-02-14T00:00:00"/>
        <d v="2023-03-15T00:00:00"/>
        <d v="2023-03-26T00:00:00"/>
        <d v="2023-03-27T00:00:00"/>
        <d v="2023-03-31T00:00:00"/>
        <d v="2023-04-02T00:00:00"/>
        <d v="2023-04-10T00:00:00"/>
        <d v="2023-04-27T00:00:00"/>
        <d v="2020-11-09T00:00:00"/>
        <d v="2022-12-30T00:00:00"/>
        <d v="2023-05-15T00:00:00"/>
        <d v="2016-01-26T00:00:00"/>
        <d v="2023-05-20T00:00:00"/>
        <d v="2020-10-21T00:00:00"/>
        <d v="2024-04-15T00:00:00"/>
        <d v="2023-09-11T00:00:00"/>
        <d v="2022-10-11T00:00:00"/>
        <d v="2023-05-29T00:00:00"/>
        <d v="2023-06-14T00:00:00"/>
        <d v="2015-04-07T00:00:00"/>
        <d v="2024-10-04T00:00:00"/>
        <d v="2023-06-28T00:00:00"/>
        <d v="2023-07-03T00:00:00"/>
        <d v="2023-07-06T00:00:00"/>
        <d v="2023-07-07T00:00:00"/>
        <d v="2018-05-15T00:00:00"/>
        <d v="2023-07-15T00:00:00"/>
        <d v="2023-07-17T00:00:00"/>
        <d v="2023-07-29T00:00:00"/>
        <d v="2023-07-31T00:00:00"/>
        <d v="2023-05-06T00:00:00"/>
        <d v="2023-08-05T00:00:00"/>
        <d v="2023-04-15T00:00:00"/>
        <d v="2023-08-19T00:00:00"/>
        <d v="2023-08-21T00:00:00"/>
        <d v="2015-04-24T00:00:00"/>
        <d v="2023-08-24T00:00:00"/>
        <d v="2020-06-06T00:00:00"/>
        <d v="2017-10-21T00:00:00"/>
        <d v="2020-07-06T00:00:00"/>
        <d v="2018-05-29T00:00:00"/>
        <d v="2023-12-23T00:00:00"/>
        <d v="2018-11-28T00:00:00"/>
        <d v="2017-04-23T00:00:00"/>
        <d v="2023-09-27T00:00:00"/>
        <d v="2023-09-29T00:00:00"/>
        <d v="2023-05-13T00:00:00"/>
        <d v="2024-09-29T00:00:00"/>
        <d v="2023-10-08T00:00:00"/>
        <d v="2023-10-10T00:00:00"/>
        <d v="2023-10-13T00:00:00"/>
        <d v="2023-10-14T00:00:00"/>
        <d v="2021-08-25T00:00:00"/>
        <d v="2023-10-31T00:00:00"/>
        <d v="2015-02-18T00:00:00"/>
        <d v="2022-02-17T00:00:00"/>
        <d v="2024-03-06T00:00:00"/>
        <d v="2024-07-24T00:00:00"/>
        <d v="2015-02-03T00:00:00"/>
        <d v="2023-11-21T00:00:00"/>
        <d v="2024-11-15T00:00:00"/>
        <d v="2023-11-28T00:00:00"/>
        <d v="2023-12-03T00:00:00"/>
        <d v="2016-12-16T00:00:00"/>
        <d v="2020-05-28T00:00:00"/>
        <d v="2017-12-24T00:00:00"/>
        <d v="2023-12-11T00:00:00"/>
        <d v="2018-01-21T00:00:00"/>
        <d v="2023-12-16T00:00:00"/>
        <d v="2023-12-20T00:00:00"/>
        <d v="2023-11-03T00:00:00"/>
        <d v="2023-12-25T00:00:00"/>
        <d v="2020-08-13T00:00:00"/>
        <d v="2023-12-29T00:00:00"/>
        <d v="2024-01-01T00:00:00"/>
        <d v="2015-09-04T00:00:00"/>
        <d v="2018-10-29T00:00:00"/>
        <d v="2024-06-02T00:00:00"/>
        <d v="2024-01-16T00:00:00"/>
        <d v="2024-01-18T00:00:00"/>
        <d v="2021-08-11T00:00:00"/>
        <d v="2019-09-14T00:00:00"/>
        <d v="2024-05-01T00:00:00"/>
        <d v="2024-01-28T00:00:00"/>
        <d v="2020-10-10T00:00:00"/>
        <d v="2024-02-24T00:00:00"/>
        <d v="2024-03-02T00:00:00"/>
        <d v="2019-12-14T00:00:00"/>
        <d v="2016-08-04T00:00:00"/>
        <d v="2019-07-08T00:00:00"/>
        <d v="2023-01-12T00:00:00"/>
        <d v="2016-09-08T00:00:00"/>
        <d v="2024-03-18T00:00:00"/>
        <d v="2021-10-25T00:00:00"/>
        <d v="2024-03-20T00:00:00"/>
        <d v="2024-03-28T00:00:00"/>
        <d v="2020-07-01T00:00:00"/>
        <d v="2024-04-07T00:00:00"/>
        <d v="2019-12-11T00:00:00"/>
        <d v="2024-04-09T00:00:00"/>
        <d v="2023-09-13T00:00:00"/>
        <d v="2024-04-13T00:00:00"/>
        <d v="2024-04-21T00:00:00"/>
        <d v="2024-04-24T00:00:00"/>
        <d v="2019-04-11T00:00:00"/>
        <d v="2020-09-15T00:00:00"/>
        <d v="2021-08-18T00:00:00"/>
        <d v="2017-10-20T00:00:00"/>
        <d v="2024-05-15T00:00:00"/>
        <d v="2024-12-10T00:00:00"/>
        <d v="2022-02-03T00:00:00"/>
        <d v="2023-11-08T00:00:00"/>
        <d v="2019-10-09T00:00:00"/>
        <d v="2024-05-28T00:00:00"/>
        <d v="2023-01-11T00:00:00"/>
        <d v="2019-09-05T00:00:00"/>
        <d v="2018-09-21T00:00:00"/>
        <d v="2016-06-01T00:00:00"/>
        <d v="2018-05-20T00:00:00"/>
        <d v="2018-07-24T00:00:00"/>
        <d v="2024-06-18T00:00:00"/>
        <d v="2024-06-20T00:00:00"/>
        <d v="2024-06-23T00:00:00"/>
        <d v="2024-06-27T00:00:00"/>
        <d v="2015-10-05T00:00:00"/>
        <d v="2015-05-19T00:00:00"/>
        <d v="2020-06-03T00:00:00"/>
        <d v="2024-07-25T00:00:00"/>
        <d v="2018-10-26T00:00:00"/>
        <d v="2024-08-29T00:00:00"/>
        <d v="2023-10-25T00:00:00"/>
        <d v="2021-06-23T00:00:00"/>
        <d v="2024-09-27T00:00:00"/>
        <d v="2015-12-28T00:00:00"/>
        <d v="2017-03-07T00:00:00"/>
        <d v="2015-12-04T00:00:00"/>
        <d v="2024-10-08T00:00:00"/>
        <d v="2024-10-09T00:00:00"/>
        <d v="2016-05-02T00:00:00"/>
        <d v="2018-02-15T00:00:00"/>
        <d v="2024-10-19T00:00:00"/>
        <d v="2024-10-20T00:00:00"/>
        <d v="2024-10-21T00:00:00"/>
        <d v="2024-10-22T00:00:00"/>
        <d v="2019-05-23T00:00:00"/>
        <d v="2024-11-02T00:00:00"/>
        <d v="2024-11-07T00:00:00"/>
        <d v="2024-11-09T00:00:00"/>
        <d v="2024-11-10T00:00:00"/>
        <d v="2024-11-22T00:00:00"/>
        <d v="2024-11-14T00:00:00"/>
        <d v="2024-11-17T00:00:00"/>
        <d v="2021-11-04T00:00:00"/>
        <d v="2016-04-02T00:00:00"/>
        <d v="2024-11-30T00:00:00"/>
        <d v="2017-07-20T00:00:00"/>
        <d v="2024-12-03T00:00:00"/>
        <d v="2024-12-04T00:00:00"/>
        <d v="2021-05-27T00:00:00"/>
        <d v="2024-12-14T00:00:00"/>
        <d v="2024-12-15T00:00:00"/>
        <d v="2024-12-17T00:00:00"/>
        <d v="2023-06-20T00:00:00"/>
        <d v="2020-07-20T00:00:00"/>
        <d v="2024-06-17T00:00:00"/>
        <d v="2023-01-27T00:00:00"/>
        <d v="2024-12-29T00:00:00"/>
        <m/>
      </sharedItems>
      <fieldGroup par="30" base="2">
        <rangePr groupBy="months" startDate="2015-01-02T00:00:00" endDate="2024-12-30T00:00:00"/>
        <groupItems count="14">
          <s v="(en blanco)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30/12/2024"/>
        </groupItems>
      </fieldGroup>
    </cacheField>
    <cacheField name="MES" numFmtId="167">
      <sharedItems containsNonDate="0" containsDate="1" containsString="0" containsBlank="1" minDate="2015-01-02T00:00:00" maxDate="2024-12-30T00:00:00" count="886">
        <d v="2023-10-29T00:00:00"/>
        <d v="2017-03-15T00:00:00"/>
        <d v="2015-01-04T00:00:00"/>
        <d v="2022-10-22T00:00:00"/>
        <d v="2015-01-12T00:00:00"/>
        <d v="2015-01-13T00:00:00"/>
        <d v="2023-10-04T00:00:00"/>
        <d v="2015-01-18T00:00:00"/>
        <d v="2019-08-08T00:00:00"/>
        <d v="2023-08-26T00:00:00"/>
        <d v="2015-02-05T00:00:00"/>
        <d v="2015-02-13T00:00:00"/>
        <d v="2017-05-18T00:00:00"/>
        <d v="2020-02-02T00:00:00"/>
        <d v="2021-06-08T00:00:00"/>
        <d v="2015-02-26T00:00:00"/>
        <d v="2015-03-02T00:00:00"/>
        <d v="2023-11-26T00:00:00"/>
        <d v="2020-08-14T00:00:00"/>
        <d v="2015-03-26T00:00:00"/>
        <d v="2015-03-30T00:00:00"/>
        <d v="2017-01-01T00:00:00"/>
        <d v="2015-07-16T00:00:00"/>
        <d v="2015-04-16T00:00:00"/>
        <d v="2023-04-03T00:00:00"/>
        <d v="2017-04-13T00:00:00"/>
        <d v="2021-05-04T00:00:00"/>
        <d v="2015-04-26T00:00:00"/>
        <d v="2024-11-13T00:00:00"/>
        <d v="2015-05-06T00:00:00"/>
        <d v="2015-05-12T00:00:00"/>
        <d v="2015-05-14T00:00:00"/>
        <d v="2019-02-03T00:00:00"/>
        <d v="2019-06-15T00:00:00"/>
        <d v="2019-08-12T00:00:00"/>
        <d v="2015-06-27T00:00:00"/>
        <d v="2015-05-30T00:00:00"/>
        <d v="2015-05-31T00:00:00"/>
        <d v="2015-06-03T00:00:00"/>
        <d v="2024-03-12T00:00:00"/>
        <d v="2023-06-23T00:00:00"/>
        <d v="2015-12-18T00:00:00"/>
        <d v="2015-06-10T00:00:00"/>
        <d v="2017-06-25T00:00:00"/>
        <d v="2016-07-25T00:00:00"/>
        <d v="2015-07-05T00:00:00"/>
        <d v="2015-07-10T00:00:00"/>
        <d v="2019-07-23T00:00:00"/>
        <d v="2015-07-14T00:00:00"/>
        <d v="2020-11-15T00:00:00"/>
        <d v="2015-07-26T00:00:00"/>
        <d v="2023-05-18T00:00:00"/>
        <d v="2015-08-10T00:00:00"/>
        <d v="2015-08-13T00:00:00"/>
        <d v="2020-10-12T00:00:00"/>
        <d v="2015-08-30T00:00:00"/>
        <d v="2015-08-31T00:00:00"/>
        <d v="2015-09-01T00:00:00"/>
        <d v="2021-05-21T00:00:00"/>
        <d v="2020-05-03T00:00:00"/>
        <d v="2015-03-25T00:00:00"/>
        <d v="2017-09-01T00:00:00"/>
        <d v="2019-09-17T00:00:00"/>
        <d v="2017-08-05T00:00:00"/>
        <d v="2015-09-15T00:00:00"/>
        <d v="2015-09-22T00:00:00"/>
        <d v="2015-09-25T00:00:00"/>
        <d v="2015-09-26T00:00:00"/>
        <d v="2015-06-05T00:00:00"/>
        <d v="2015-09-09T00:00:00"/>
        <d v="2024-05-02T00:00:00"/>
        <d v="2015-10-20T00:00:00"/>
        <d v="2015-10-23T00:00:00"/>
        <d v="2024-12-23T00:00:00"/>
        <d v="2020-07-05T00:00:00"/>
        <d v="2024-04-26T00:00:00"/>
        <d v="2018-01-25T00:00:00"/>
        <d v="2019-01-07T00:00:00"/>
        <d v="2024-09-15T00:00:00"/>
        <d v="2015-12-26T00:00:00"/>
        <d v="2015-12-27T00:00:00"/>
        <d v="2022-09-05T00:00:00"/>
        <d v="2017-10-12T00:00:00"/>
        <d v="2023-10-18T00:00:00"/>
        <d v="2015-11-16T00:00:00"/>
        <d v="2016-02-01T00:00:00"/>
        <d v="2016-02-02T00:00:00"/>
        <d v="2016-02-03T00:00:00"/>
        <d v="2016-02-08T00:00:00"/>
        <d v="2022-08-12T00:00:00"/>
        <d v="2016-02-18T00:00:00"/>
        <d v="2015-05-24T00:00:00"/>
        <d v="2019-05-01T00:00:00"/>
        <d v="2016-09-26T00:00:00"/>
        <d v="2020-05-17T00:00:00"/>
        <d v="2016-03-10T00:00:00"/>
        <d v="2016-03-16T00:00:00"/>
        <d v="2024-12-02T00:00:00"/>
        <d v="2020-02-12T00:00:00"/>
        <d v="2016-03-31T00:00:00"/>
        <d v="2024-03-03T00:00:00"/>
        <d v="2016-04-05T00:00:00"/>
        <d v="2016-04-07T00:00:00"/>
        <d v="2016-04-12T00:00:00"/>
        <d v="2016-04-13T00:00:00"/>
        <d v="2016-04-20T00:00:00"/>
        <d v="2016-04-21T00:00:00"/>
        <d v="2016-10-03T00:00:00"/>
        <d v="2016-04-25T00:00:00"/>
        <d v="2023-11-18T00:00:00"/>
        <d v="2019-04-02T00:00:00"/>
        <d v="2016-05-07T00:00:00"/>
        <d v="2016-05-11T00:00:00"/>
        <d v="2016-05-13T00:00:00"/>
        <d v="2016-05-17T00:00:00"/>
        <d v="2021-12-21T00:00:00"/>
        <d v="2016-09-16T00:00:00"/>
        <d v="2016-05-28T00:00:00"/>
        <d v="2016-05-31T00:00:00"/>
        <d v="2019-01-14T00:00:00"/>
        <d v="2024-10-12T00:00:00"/>
        <d v="2016-06-04T00:00:00"/>
        <d v="2020-02-27T00:00:00"/>
        <d v="2016-06-08T00:00:00"/>
        <d v="2017-11-19T00:00:00"/>
        <d v="2016-06-10T00:00:00"/>
        <d v="2021-05-12T00:00:00"/>
        <d v="2018-03-28T00:00:00"/>
        <d v="2020-01-24T00:00:00"/>
        <d v="2016-07-04T00:00:00"/>
        <d v="2016-06-16T00:00:00"/>
        <d v="2016-07-11T00:00:00"/>
        <d v="2016-07-12T00:00:00"/>
        <d v="2022-10-18T00:00:00"/>
        <d v="2018-05-23T00:00:00"/>
        <d v="2016-07-27T00:00:00"/>
        <d v="2024-05-20T00:00:00"/>
        <d v="2023-05-27T00:00:00"/>
        <d v="2016-06-17T00:00:00"/>
        <d v="2016-08-28T00:00:00"/>
        <d v="2019-10-24T00:00:00"/>
        <d v="2016-09-06T00:00:00"/>
        <d v="2021-04-15T00:00:00"/>
        <d v="2022-03-15T00:00:00"/>
        <d v="2024-03-08T00:00:00"/>
        <d v="2016-09-19T00:00:00"/>
        <d v="2017-07-05T00:00:00"/>
        <d v="2016-09-27T00:00:00"/>
        <d v="2019-10-19T00:00:00"/>
        <d v="2016-10-04T00:00:00"/>
        <d v="2016-10-07T00:00:00"/>
        <d v="2016-10-09T00:00:00"/>
        <d v="2016-10-14T00:00:00"/>
        <d v="2016-10-22T00:00:00"/>
        <d v="2020-05-05T00:00:00"/>
        <d v="2023-11-14T00:00:00"/>
        <d v="2022-11-08T00:00:00"/>
        <d v="2016-11-26T00:00:00"/>
        <d v="2015-04-04T00:00:00"/>
        <d v="2016-12-05T00:00:00"/>
        <d v="2015-05-03T00:00:00"/>
        <d v="2018-06-12T00:00:00"/>
        <d v="2023-08-04T00:00:00"/>
        <d v="2016-12-26T00:00:00"/>
        <d v="2016-12-27T00:00:00"/>
        <d v="2019-01-23T00:00:00"/>
        <d v="2017-05-20T00:00:00"/>
        <d v="2017-01-02T00:00:00"/>
        <d v="2019-06-30T00:00:00"/>
        <d v="2024-05-29T00:00:00"/>
        <d v="2017-01-05T00:00:00"/>
        <d v="2017-01-07T00:00:00"/>
        <d v="2024-05-23T00:00:00"/>
        <d v="2017-01-25T00:00:00"/>
        <d v="2020-07-18T00:00:00"/>
        <d v="2018-08-31T00:00:00"/>
        <d v="2017-02-14T00:00:00"/>
        <d v="2017-02-16T00:00:00"/>
        <d v="2017-02-17T00:00:00"/>
        <d v="2017-02-25T00:00:00"/>
        <d v="2017-03-02T00:00:00"/>
        <d v="2017-03-04T00:00:00"/>
        <d v="2022-01-15T00:00:00"/>
        <d v="2015-06-04T00:00:00"/>
        <d v="2023-12-04T00:00:00"/>
        <d v="2024-07-02T00:00:00"/>
        <d v="2017-03-23T00:00:00"/>
        <d v="2017-04-06T00:00:00"/>
        <d v="2017-04-08T00:00:00"/>
        <d v="2018-02-27T00:00:00"/>
        <d v="2017-04-11T00:00:00"/>
        <d v="2017-04-12T00:00:00"/>
        <d v="2020-05-07T00:00:00"/>
        <d v="2017-04-17T00:00:00"/>
        <d v="2017-04-19T00:00:00"/>
        <d v="2018-10-21T00:00:00"/>
        <d v="2024-09-03T00:00:00"/>
        <d v="2017-04-28T00:00:00"/>
        <d v="2017-05-02T00:00:00"/>
        <d v="2022-11-29T00:00:00"/>
        <d v="2019-09-29T00:00:00"/>
        <d v="2017-05-16T00:00:00"/>
        <d v="2015-09-11T00:00:00"/>
        <d v="2022-09-01T00:00:00"/>
        <d v="2015-07-29T00:00:00"/>
        <d v="2017-05-25T00:00:00"/>
        <d v="2017-05-27T00:00:00"/>
        <d v="2024-12-22T00:00:00"/>
        <d v="2017-09-10T00:00:00"/>
        <d v="2023-08-10T00:00:00"/>
        <d v="2017-06-21T00:00:00"/>
        <d v="2015-07-12T00:00:00"/>
        <d v="2017-06-28T00:00:00"/>
        <d v="2018-05-26T00:00:00"/>
        <d v="2017-06-29T00:00:00"/>
        <d v="2023-07-16T00:00:00"/>
        <d v="2019-04-04T00:00:00"/>
        <d v="2017-07-25T00:00:00"/>
        <d v="2024-01-14T00:00:00"/>
        <d v="2018-01-28T00:00:00"/>
        <d v="2017-08-18T00:00:00"/>
        <d v="2017-08-21T00:00:00"/>
        <d v="2016-02-24T00:00:00"/>
        <d v="2016-07-26T00:00:00"/>
        <d v="2022-01-05T00:00:00"/>
        <d v="2017-09-06T00:00:00"/>
        <d v="2017-09-08T00:00:00"/>
        <d v="2022-06-20T00:00:00"/>
        <d v="2017-09-14T00:00:00"/>
        <d v="2021-09-03T00:00:00"/>
        <d v="2020-03-21T00:00:00"/>
        <d v="2018-07-02T00:00:00"/>
        <d v="2017-09-26T00:00:00"/>
        <d v="2017-10-03T00:00:00"/>
        <d v="2017-10-06T00:00:00"/>
        <d v="2017-10-10T00:00:00"/>
        <d v="2019-07-29T00:00:00"/>
        <d v="2017-10-18T00:00:00"/>
        <d v="2023-08-23T00:00:00"/>
        <d v="2015-01-02T00:00:00"/>
        <d v="2017-10-28T00:00:00"/>
        <d v="2017-10-30T00:00:00"/>
        <d v="2019-06-09T00:00:00"/>
        <d v="2022-11-17T00:00:00"/>
        <d v="2020-01-23T00:00:00"/>
        <d v="2017-11-04T00:00:00"/>
        <d v="2017-11-10T00:00:00"/>
        <d v="2022-04-18T00:00:00"/>
        <d v="2017-11-18T00:00:00"/>
        <d v="2023-09-17T00:00:00"/>
        <d v="2017-11-26T00:00:00"/>
        <d v="2017-12-06T00:00:00"/>
        <d v="2024-12-25T00:00:00"/>
        <d v="2017-12-27T00:00:00"/>
        <d v="2017-12-29T00:00:00"/>
        <d v="2017-12-30T00:00:00"/>
        <d v="2015-01-03T00:00:00"/>
        <d v="2022-04-17T00:00:00"/>
        <d v="2018-01-16T00:00:00"/>
        <d v="2023-06-26T00:00:00"/>
        <d v="2018-07-11T00:00:00"/>
        <d v="2020-10-18T00:00:00"/>
        <d v="2023-01-19T00:00:00"/>
        <d v="2018-01-27T00:00:00"/>
        <d v="2022-08-19T00:00:00"/>
        <d v="2018-02-06T00:00:00"/>
        <d v="2018-02-07T00:00:00"/>
        <d v="2018-08-12T00:00:00"/>
        <d v="2018-02-09T00:00:00"/>
        <d v="2021-02-26T00:00:00"/>
        <d v="2019-05-28T00:00:00"/>
        <d v="2024-01-21T00:00:00"/>
        <d v="2024-04-08T00:00:00"/>
        <d v="2018-03-05T00:00:00"/>
        <d v="2018-03-08T00:00:00"/>
        <d v="2018-03-16T00:00:00"/>
        <d v="2018-03-21T00:00:00"/>
        <d v="2015-12-16T00:00:00"/>
        <d v="2018-04-09T00:00:00"/>
        <d v="2018-04-22T00:00:00"/>
        <d v="2018-05-05T00:00:00"/>
        <d v="2018-05-13T00:00:00"/>
        <d v="2020-09-03T00:00:00"/>
        <d v="2018-05-14T00:00:00"/>
        <d v="2017-11-01T00:00:00"/>
        <d v="2019-08-05T00:00:00"/>
        <d v="2018-09-07T00:00:00"/>
        <d v="2016-01-05T00:00:00"/>
        <d v="2019-04-06T00:00:00"/>
        <d v="2018-06-11T00:00:00"/>
        <d v="2024-01-26T00:00:00"/>
        <d v="2018-06-13T00:00:00"/>
        <d v="2023-12-28T00:00:00"/>
        <d v="2018-06-18T00:00:00"/>
        <d v="2021-05-22T00:00:00"/>
        <d v="2021-10-26T00:00:00"/>
        <d v="2020-04-27T00:00:00"/>
        <d v="2021-01-05T00:00:00"/>
        <d v="2018-07-23T00:00:00"/>
        <d v="2019-11-03T00:00:00"/>
        <d v="2024-03-19T00:00:00"/>
        <d v="2018-07-29T00:00:00"/>
        <d v="2021-04-21T00:00:00"/>
        <d v="2018-08-03T00:00:00"/>
        <d v="2021-02-19T00:00:00"/>
        <d v="2018-08-06T00:00:00"/>
        <d v="2019-08-15T00:00:00"/>
        <d v="2015-04-23T00:00:00"/>
        <d v="2018-08-26T00:00:00"/>
        <d v="2018-08-29T00:00:00"/>
        <d v="2018-12-29T00:00:00"/>
        <d v="2018-09-02T00:00:00"/>
        <d v="2023-01-31T00:00:00"/>
        <d v="2018-09-15T00:00:00"/>
        <d v="2018-09-18T00:00:00"/>
        <d v="2022-01-22T00:00:00"/>
        <d v="2017-08-17T00:00:00"/>
        <d v="2015-09-29T00:00:00"/>
        <d v="2018-10-05T00:00:00"/>
        <d v="2018-10-09T00:00:00"/>
        <d v="2018-10-12T00:00:00"/>
        <d v="2019-08-31T00:00:00"/>
        <d v="2015-06-20T00:00:00"/>
        <d v="2018-10-28T00:00:00"/>
        <d v="2020-01-17T00:00:00"/>
        <d v="2018-11-08T00:00:00"/>
        <d v="2023-02-24T00:00:00"/>
        <d v="2023-09-22T00:00:00"/>
        <d v="2018-11-20T00:00:00"/>
        <d v="2018-11-23T00:00:00"/>
        <d v="2024-11-21T00:00:00"/>
        <d v="2018-12-01T00:00:00"/>
        <d v="2019-11-15T00:00:00"/>
        <d v="2015-05-17T00:00:00"/>
        <d v="2019-07-13T00:00:00"/>
        <d v="2018-12-12T00:00:00"/>
        <d v="2018-12-22T00:00:00"/>
        <d v="2023-02-04T00:00:00"/>
        <d v="2024-01-07T00:00:00"/>
        <d v="2024-10-03T00:00:00"/>
        <d v="2016-06-03T00:00:00"/>
        <d v="2023-07-13T00:00:00"/>
        <d v="2019-01-24T00:00:00"/>
        <d v="2019-06-20T00:00:00"/>
        <d v="2019-01-28T00:00:00"/>
        <d v="2017-05-07T00:00:00"/>
        <d v="2020-03-07T00:00:00"/>
        <d v="2019-02-09T00:00:00"/>
        <d v="2019-02-10T00:00:00"/>
        <d v="2016-12-07T00:00:00"/>
        <d v="2019-02-26T00:00:00"/>
        <d v="2019-02-27T00:00:00"/>
        <d v="2019-03-06T00:00:00"/>
        <d v="2019-03-08T00:00:00"/>
        <d v="2019-03-16T00:00:00"/>
        <d v="2019-03-19T00:00:00"/>
        <d v="2019-03-22T00:00:00"/>
        <d v="2021-06-03T00:00:00"/>
        <d v="2019-03-28T00:00:00"/>
        <d v="2019-03-29T00:00:00"/>
        <d v="2023-05-25T00:00:00"/>
        <d v="2020-05-26T00:00:00"/>
        <d v="2018-07-09T00:00:00"/>
        <d v="2019-04-05T00:00:00"/>
        <d v="2018-12-02T00:00:00"/>
        <d v="2016-08-19T00:00:00"/>
        <d v="2019-04-20T00:00:00"/>
        <d v="2019-04-25T00:00:00"/>
        <d v="2024-10-29T00:00:00"/>
        <d v="2021-09-09T00:00:00"/>
        <d v="2019-03-25T00:00:00"/>
        <d v="2019-04-30T00:00:00"/>
        <d v="2019-05-02T00:00:00"/>
        <d v="2019-05-03T00:00:00"/>
        <d v="2019-05-04T00:00:00"/>
        <d v="2019-05-08T00:00:00"/>
        <d v="2019-05-10T00:00:00"/>
        <d v="2016-05-05T00:00:00"/>
        <d v="2019-05-24T00:00:00"/>
        <d v="2019-05-26T00:00:00"/>
        <d v="2019-05-29T00:00:00"/>
        <d v="2018-11-15T00:00:00"/>
        <d v="2024-06-10T00:00:00"/>
        <d v="2018-02-08T00:00:00"/>
        <d v="2017-11-11T00:00:00"/>
        <d v="2015-02-23T00:00:00"/>
        <d v="2019-06-29T00:00:00"/>
        <d v="2020-11-14T00:00:00"/>
        <d v="2024-09-17T00:00:00"/>
        <d v="2019-07-02T00:00:00"/>
        <d v="2019-07-04T00:00:00"/>
        <d v="2019-07-06T00:00:00"/>
        <d v="2018-02-21T00:00:00"/>
        <d v="2019-07-10T00:00:00"/>
        <d v="2021-01-07T00:00:00"/>
        <d v="2019-07-22T00:00:00"/>
        <d v="2016-06-29T00:00:00"/>
        <d v="2019-09-01T00:00:00"/>
        <d v="2024-06-03T00:00:00"/>
        <d v="2022-04-02T00:00:00"/>
        <d v="2019-06-18T00:00:00"/>
        <d v="2019-08-07T00:00:00"/>
        <d v="2019-02-14T00:00:00"/>
        <d v="2024-02-01T00:00:00"/>
        <d v="2016-03-01T00:00:00"/>
        <d v="2017-11-23T00:00:00"/>
        <d v="2020-12-03T00:00:00"/>
        <d v="2019-08-20T00:00:00"/>
        <d v="2019-08-21T00:00:00"/>
        <d v="2019-08-24T00:00:00"/>
        <d v="2019-08-27T00:00:00"/>
        <d v="2019-08-13T00:00:00"/>
        <d v="2015-09-03T00:00:00"/>
        <d v="2024-10-01T00:00:00"/>
        <d v="2019-09-07T00:00:00"/>
        <d v="2019-09-09T00:00:00"/>
        <d v="2019-09-11T00:00:00"/>
        <d v="2021-02-05T00:00:00"/>
        <d v="2019-09-16T00:00:00"/>
        <d v="2017-01-27T00:00:00"/>
        <d v="2019-09-20T00:00:00"/>
        <d v="2019-09-27T00:00:00"/>
        <d v="2019-04-29T00:00:00"/>
        <d v="2019-09-30T00:00:00"/>
        <d v="2018-08-10T00:00:00"/>
        <d v="2019-10-04T00:00:00"/>
        <d v="2020-06-21T00:00:00"/>
        <d v="2019-10-10T00:00:00"/>
        <d v="2016-01-11T00:00:00"/>
        <d v="2019-10-16T00:00:00"/>
        <d v="2016-05-19T00:00:00"/>
        <d v="2019-10-20T00:00:00"/>
        <d v="2016-12-02T00:00:00"/>
        <d v="2019-10-27T00:00:00"/>
        <d v="2021-10-01T00:00:00"/>
        <d v="2019-11-07T00:00:00"/>
        <d v="2019-11-13T00:00:00"/>
        <d v="2018-12-24T00:00:00"/>
        <d v="2019-11-17T00:00:00"/>
        <d v="2016-02-29T00:00:00"/>
        <d v="2019-11-21T00:00:00"/>
        <d v="2019-11-26T00:00:00"/>
        <d v="2019-11-28T00:00:00"/>
        <d v="2019-12-01T00:00:00"/>
        <d v="2019-12-02T00:00:00"/>
        <d v="2024-01-09T00:00:00"/>
        <d v="2017-04-25T00:00:00"/>
        <d v="2019-12-22T00:00:00"/>
        <d v="2017-09-20T00:00:00"/>
        <d v="2020-01-09T00:00:00"/>
        <d v="2020-01-14T00:00:00"/>
        <d v="2018-06-15T00:00:00"/>
        <d v="2020-01-19T00:00:00"/>
        <d v="2016-12-20T00:00:00"/>
        <d v="2020-07-28T00:00:00"/>
        <d v="2020-01-27T00:00:00"/>
        <d v="2020-01-31T00:00:00"/>
        <d v="2016-03-26T00:00:00"/>
        <d v="2020-02-06T00:00:00"/>
        <d v="2020-02-10T00:00:00"/>
        <d v="2024-12-28T00:00:00"/>
        <d v="2020-02-21T00:00:00"/>
        <d v="2020-02-26T00:00:00"/>
        <d v="2024-05-24T00:00:00"/>
        <d v="2020-03-01T00:00:00"/>
        <d v="2024-07-03T00:00:00"/>
        <d v="2020-03-18T00:00:00"/>
        <d v="2021-02-08T00:00:00"/>
        <d v="2020-03-26T00:00:00"/>
        <d v="2020-03-28T00:00:00"/>
        <d v="2020-04-03T00:00:00"/>
        <d v="2020-04-22T00:00:00"/>
        <d v="2024-07-22T00:00:00"/>
        <d v="2018-12-09T00:00:00"/>
        <d v="2023-05-28T00:00:00"/>
        <d v="2021-03-22T00:00:00"/>
        <d v="2020-05-13T00:00:00"/>
        <d v="2023-02-12T00:00:00"/>
        <d v="2021-10-23T00:00:00"/>
        <d v="2020-05-18T00:00:00"/>
        <d v="2020-05-20T00:00:00"/>
        <d v="2019-08-01T00:00:00"/>
        <d v="2022-01-07T00:00:00"/>
        <d v="2020-05-30T00:00:00"/>
        <d v="2023-11-10T00:00:00"/>
        <d v="2018-09-29T00:00:00"/>
        <d v="2020-06-07T00:00:00"/>
        <d v="2020-06-13T00:00:00"/>
        <d v="2020-06-15T00:00:00"/>
        <d v="2020-06-20T00:00:00"/>
        <d v="2020-06-08T00:00:00"/>
        <d v="2016-06-09T00:00:00"/>
        <d v="2023-06-16T00:00:00"/>
        <d v="2020-07-15T00:00:00"/>
        <d v="2023-10-02T00:00:00"/>
        <d v="2016-12-15T00:00:00"/>
        <d v="2024-11-26T00:00:00"/>
        <d v="2020-08-06T00:00:00"/>
        <d v="2022-08-15T00:00:00"/>
        <d v="2020-08-11T00:00:00"/>
        <d v="2020-08-12T00:00:00"/>
        <d v="2023-12-14T00:00:00"/>
        <d v="2020-08-19T00:00:00"/>
        <d v="2023-11-15T00:00:00"/>
        <d v="2020-09-01T00:00:00"/>
        <d v="2021-08-26T00:00:00"/>
        <d v="2017-02-09T00:00:00"/>
        <d v="2020-09-12T00:00:00"/>
        <d v="2023-03-03T00:00:00"/>
        <d v="2019-04-27T00:00:00"/>
        <d v="2018-01-23T00:00:00"/>
        <d v="2020-10-16T00:00:00"/>
        <d v="2022-02-11T00:00:00"/>
        <d v="2024-04-12T00:00:00"/>
        <d v="2020-10-26T00:00:00"/>
        <d v="2020-10-30T00:00:00"/>
        <d v="2020-11-03T00:00:00"/>
        <d v="2020-11-04T00:00:00"/>
        <d v="2020-11-07T00:00:00"/>
        <d v="2024-01-02T00:00:00"/>
        <d v="2020-11-13T00:00:00"/>
        <d v="2019-01-19T00:00:00"/>
        <d v="2016-09-11T00:00:00"/>
        <d v="2020-11-18T00:00:00"/>
        <d v="2020-11-30T00:00:00"/>
        <d v="2020-12-01T00:00:00"/>
        <d v="2023-03-05T00:00:00"/>
        <d v="2020-12-07T00:00:00"/>
        <d v="2020-12-15T00:00:00"/>
        <d v="2016-12-28T00:00:00"/>
        <d v="2022-03-29T00:00:00"/>
        <d v="2020-12-28T00:00:00"/>
        <d v="2020-12-29T00:00:00"/>
        <d v="2023-12-01T00:00:00"/>
        <d v="2021-01-04T00:00:00"/>
        <d v="2016-03-17T00:00:00"/>
        <d v="2024-04-30T00:00:00"/>
        <d v="2015-10-03T00:00:00"/>
        <d v="2015-04-17T00:00:00"/>
        <d v="2016-03-02T00:00:00"/>
        <d v="2021-01-28T00:00:00"/>
        <d v="2021-01-31T00:00:00"/>
        <d v="2016-07-10T00:00:00"/>
        <d v="2021-02-16T00:00:00"/>
        <d v="2021-09-01T00:00:00"/>
        <d v="2021-02-22T00:00:00"/>
        <d v="2020-01-06T00:00:00"/>
        <d v="2021-03-03T00:00:00"/>
        <d v="2022-01-13T00:00:00"/>
        <d v="2022-12-28T00:00:00"/>
        <d v="2018-01-17T00:00:00"/>
        <d v="2021-03-29T00:00:00"/>
        <d v="2021-04-06T00:00:00"/>
        <d v="2018-08-01T00:00:00"/>
        <d v="2021-04-16T00:00:00"/>
        <d v="2019-10-15T00:00:00"/>
        <d v="2021-04-23T00:00:00"/>
        <d v="2021-04-27T00:00:00"/>
        <d v="2024-05-13T00:00:00"/>
        <d v="2021-05-10T00:00:00"/>
        <d v="2019-12-05T00:00:00"/>
        <d v="2019-01-27T00:00:00"/>
        <d v="2021-05-23T00:00:00"/>
        <d v="2019-06-17T00:00:00"/>
        <d v="2021-05-28T00:00:00"/>
        <d v="2021-06-01T00:00:00"/>
        <d v="2021-06-02T00:00:00"/>
        <d v="2022-10-21T00:00:00"/>
        <d v="2022-09-30T00:00:00"/>
        <d v="2021-06-13T00:00:00"/>
        <d v="2021-06-14T00:00:00"/>
        <d v="2021-06-18T00:00:00"/>
        <d v="2015-09-07T00:00:00"/>
        <d v="2021-06-24T00:00:00"/>
        <d v="2021-06-26T00:00:00"/>
        <d v="2021-07-01T00:00:00"/>
        <d v="2021-07-10T00:00:00"/>
        <d v="2021-07-13T00:00:00"/>
        <d v="2021-07-26T00:00:00"/>
        <d v="2021-07-29T00:00:00"/>
        <d v="2023-02-23T00:00:00"/>
        <d v="2021-08-01T00:00:00"/>
        <d v="2021-08-03T00:00:00"/>
        <d v="2021-08-05T00:00:00"/>
        <d v="2021-08-07T00:00:00"/>
        <d v="2016-02-13T00:00:00"/>
        <d v="2024-10-13T00:00:00"/>
        <d v="2021-08-21T00:00:00"/>
        <d v="2021-08-22T00:00:00"/>
        <d v="2023-09-01T00:00:00"/>
        <d v="2024-04-03T00:00:00"/>
        <d v="2020-12-31T00:00:00"/>
        <d v="2021-08-27T00:00:00"/>
        <d v="2024-05-07T00:00:00"/>
        <d v="2022-02-18T00:00:00"/>
        <d v="2021-09-06T00:00:00"/>
        <d v="2021-09-07T00:00:00"/>
        <d v="2022-05-25T00:00:00"/>
        <d v="2021-09-11T00:00:00"/>
        <d v="2021-09-21T00:00:00"/>
        <d v="2021-09-26T00:00:00"/>
        <d v="2021-09-29T00:00:00"/>
        <d v="2015-11-18T00:00:00"/>
        <d v="2021-10-05T00:00:00"/>
        <d v="2021-10-06T00:00:00"/>
        <d v="2021-10-16T00:00:00"/>
        <d v="2021-10-20T00:00:00"/>
        <d v="2021-10-21T00:00:00"/>
        <d v="2020-08-08T00:00:00"/>
        <d v="2017-06-04T00:00:00"/>
        <d v="2018-07-17T00:00:00"/>
        <d v="2021-10-29T00:00:00"/>
        <d v="2021-11-06T00:00:00"/>
        <d v="2023-01-15T00:00:00"/>
        <d v="2020-12-27T00:00:00"/>
        <d v="2021-11-14T00:00:00"/>
        <d v="2021-01-18T00:00:00"/>
        <d v="2021-12-09T00:00:00"/>
        <d v="2020-12-23T00:00:00"/>
        <d v="2024-01-23T00:00:00"/>
        <d v="2021-12-31T00:00:00"/>
        <d v="2018-01-08T00:00:00"/>
        <d v="2017-08-25T00:00:00"/>
        <d v="2021-03-25T00:00:00"/>
        <d v="2022-01-14T00:00:00"/>
        <d v="2017-03-19T00:00:00"/>
        <d v="2022-12-02T00:00:00"/>
        <d v="2022-01-28T00:00:00"/>
        <d v="2022-02-06T00:00:00"/>
        <d v="2017-09-19T00:00:00"/>
        <d v="2016-09-03T00:00:00"/>
        <d v="2022-02-15T00:00:00"/>
        <d v="2018-01-04T00:00:00"/>
        <d v="2022-02-19T00:00:00"/>
        <d v="2022-03-08T00:00:00"/>
        <d v="2021-01-10T00:00:00"/>
        <d v="2022-03-09T00:00:00"/>
        <d v="2017-01-08T00:00:00"/>
        <d v="2022-03-21T00:00:00"/>
        <d v="2022-03-24T00:00:00"/>
        <d v="2022-03-31T00:00:00"/>
        <d v="2021-03-11T00:00:00"/>
        <d v="2022-04-12T00:00:00"/>
        <d v="2023-03-14T00:00:00"/>
        <d v="2021-11-29T00:00:00"/>
        <d v="2022-04-23T00:00:00"/>
        <d v="2022-04-28T00:00:00"/>
        <d v="2022-05-01T00:00:00"/>
        <d v="2022-05-04T00:00:00"/>
        <d v="2022-05-06T00:00:00"/>
        <d v="2022-05-11T00:00:00"/>
        <d v="2022-05-16T00:00:00"/>
        <d v="2023-08-28T00:00:00"/>
        <d v="2022-06-03T00:00:00"/>
        <d v="2022-06-04T00:00:00"/>
        <d v="2022-06-11T00:00:00"/>
        <d v="2020-10-19T00:00:00"/>
        <d v="2022-06-22T00:00:00"/>
        <d v="2022-06-27T00:00:00"/>
        <d v="2022-06-30T00:00:00"/>
        <d v="2022-07-10T00:00:00"/>
        <d v="2022-07-15T00:00:00"/>
        <d v="2022-07-28T00:00:00"/>
        <d v="2015-02-17T00:00:00"/>
        <d v="2022-08-04T00:00:00"/>
        <d v="2022-08-06T00:00:00"/>
        <d v="2017-05-12T00:00:00"/>
        <d v="2022-08-13T00:00:00"/>
        <d v="2018-11-11T00:00:00"/>
        <d v="2022-08-16T00:00:00"/>
        <d v="2017-06-10T00:00:00"/>
        <d v="2022-08-20T00:00:00"/>
        <d v="2015-06-22T00:00:00"/>
        <d v="2015-08-28T00:00:00"/>
        <d v="2022-09-08T00:00:00"/>
        <d v="2022-09-25T00:00:00"/>
        <d v="2022-07-24T00:00:00"/>
        <d v="2022-10-02T00:00:00"/>
        <d v="2016-05-27T00:00:00"/>
        <d v="2016-08-27T00:00:00"/>
        <d v="2019-08-09T00:00:00"/>
        <d v="2018-04-29T00:00:00"/>
        <d v="2022-10-31T00:00:00"/>
        <d v="2022-11-01T00:00:00"/>
        <d v="2020-05-16T00:00:00"/>
        <d v="2022-11-14T00:00:00"/>
        <d v="2022-11-15T00:00:00"/>
        <d v="2023-01-06T00:00:00"/>
        <d v="2017-09-18T00:00:00"/>
        <d v="2022-11-30T00:00:00"/>
        <d v="2022-12-01T00:00:00"/>
        <d v="2019-10-01T00:00:00"/>
        <d v="2022-12-03T00:00:00"/>
        <d v="2022-12-23T00:00:00"/>
        <d v="2021-12-17T00:00:00"/>
        <d v="2021-08-23T00:00:00"/>
        <d v="2024-08-12T00:00:00"/>
        <d v="2022-08-03T00:00:00"/>
        <d v="2019-06-02T00:00:00"/>
        <d v="2023-01-13T00:00:00"/>
        <d v="2016-10-26T00:00:00"/>
        <d v="2023-01-16T00:00:00"/>
        <d v="2016-06-07T00:00:00"/>
        <d v="2023-01-24T00:00:00"/>
        <d v="2021-12-23T00:00:00"/>
        <d v="2023-01-28T00:00:00"/>
        <d v="2022-08-30T00:00:00"/>
        <d v="2023-02-02T00:00:00"/>
        <d v="2015-09-02T00:00:00"/>
        <d v="2015-08-23T00:00:00"/>
        <d v="2023-02-07T00:00:00"/>
        <d v="2023-02-11T00:00:00"/>
        <d v="2017-01-04T00:00:00"/>
        <d v="2019-04-26T00:00:00"/>
        <d v="2015-01-17T00:00:00"/>
        <d v="2021-07-30T00:00:00"/>
        <d v="2021-01-23T00:00:00"/>
        <d v="2023-03-13T00:00:00"/>
        <d v="2022-02-14T00:00:00"/>
        <d v="2023-03-15T00:00:00"/>
        <d v="2023-03-26T00:00:00"/>
        <d v="2023-03-27T00:00:00"/>
        <d v="2023-03-31T00:00:00"/>
        <d v="2023-04-02T00:00:00"/>
        <d v="2023-04-10T00:00:00"/>
        <d v="2023-04-27T00:00:00"/>
        <d v="2020-11-09T00:00:00"/>
        <d v="2022-12-30T00:00:00"/>
        <d v="2023-05-15T00:00:00"/>
        <d v="2016-01-26T00:00:00"/>
        <d v="2023-05-20T00:00:00"/>
        <d v="2020-10-21T00:00:00"/>
        <d v="2024-04-15T00:00:00"/>
        <d v="2023-09-11T00:00:00"/>
        <d v="2022-10-11T00:00:00"/>
        <d v="2023-05-29T00:00:00"/>
        <d v="2023-06-14T00:00:00"/>
        <d v="2015-04-07T00:00:00"/>
        <d v="2024-10-04T00:00:00"/>
        <d v="2023-06-28T00:00:00"/>
        <d v="2023-07-03T00:00:00"/>
        <d v="2023-07-06T00:00:00"/>
        <d v="2023-07-07T00:00:00"/>
        <d v="2018-05-15T00:00:00"/>
        <d v="2023-07-15T00:00:00"/>
        <d v="2023-07-17T00:00:00"/>
        <d v="2023-07-29T00:00:00"/>
        <d v="2023-07-31T00:00:00"/>
        <d v="2023-05-06T00:00:00"/>
        <d v="2023-08-05T00:00:00"/>
        <d v="2023-04-15T00:00:00"/>
        <d v="2023-08-19T00:00:00"/>
        <d v="2023-08-21T00:00:00"/>
        <d v="2015-04-24T00:00:00"/>
        <d v="2023-08-24T00:00:00"/>
        <d v="2020-06-06T00:00:00"/>
        <d v="2017-10-21T00:00:00"/>
        <d v="2020-07-06T00:00:00"/>
        <d v="2018-05-29T00:00:00"/>
        <d v="2023-12-23T00:00:00"/>
        <d v="2018-11-28T00:00:00"/>
        <d v="2017-04-23T00:00:00"/>
        <d v="2023-09-27T00:00:00"/>
        <d v="2023-09-29T00:00:00"/>
        <d v="2023-05-13T00:00:00"/>
        <d v="2024-09-29T00:00:00"/>
        <d v="2023-10-08T00:00:00"/>
        <d v="2023-10-10T00:00:00"/>
        <d v="2023-10-13T00:00:00"/>
        <d v="2023-10-14T00:00:00"/>
        <d v="2021-08-25T00:00:00"/>
        <d v="2023-10-31T00:00:00"/>
        <d v="2015-02-18T00:00:00"/>
        <d v="2022-02-17T00:00:00"/>
        <d v="2024-03-06T00:00:00"/>
        <d v="2024-07-24T00:00:00"/>
        <d v="2015-02-03T00:00:00"/>
        <d v="2023-11-21T00:00:00"/>
        <d v="2024-11-15T00:00:00"/>
        <d v="2023-11-28T00:00:00"/>
        <d v="2023-12-03T00:00:00"/>
        <d v="2016-12-16T00:00:00"/>
        <d v="2020-05-28T00:00:00"/>
        <d v="2017-12-24T00:00:00"/>
        <d v="2023-12-11T00:00:00"/>
        <d v="2018-01-21T00:00:00"/>
        <d v="2023-12-16T00:00:00"/>
        <d v="2023-12-20T00:00:00"/>
        <d v="2023-11-03T00:00:00"/>
        <d v="2023-12-25T00:00:00"/>
        <d v="2020-08-13T00:00:00"/>
        <d v="2023-12-29T00:00:00"/>
        <d v="2024-01-01T00:00:00"/>
        <d v="2015-09-04T00:00:00"/>
        <d v="2018-10-29T00:00:00"/>
        <d v="2024-06-02T00:00:00"/>
        <d v="2024-01-16T00:00:00"/>
        <d v="2024-01-18T00:00:00"/>
        <d v="2021-08-11T00:00:00"/>
        <d v="2019-09-14T00:00:00"/>
        <d v="2024-05-01T00:00:00"/>
        <d v="2024-01-28T00:00:00"/>
        <d v="2020-10-10T00:00:00"/>
        <d v="2024-02-24T00:00:00"/>
        <d v="2024-03-02T00:00:00"/>
        <d v="2019-12-14T00:00:00"/>
        <d v="2016-08-04T00:00:00"/>
        <d v="2019-07-08T00:00:00"/>
        <d v="2023-01-12T00:00:00"/>
        <d v="2016-09-08T00:00:00"/>
        <d v="2024-03-18T00:00:00"/>
        <d v="2021-10-25T00:00:00"/>
        <d v="2024-03-20T00:00:00"/>
        <d v="2024-03-28T00:00:00"/>
        <d v="2020-07-01T00:00:00"/>
        <d v="2024-04-07T00:00:00"/>
        <d v="2019-12-11T00:00:00"/>
        <d v="2024-04-09T00:00:00"/>
        <d v="2023-09-13T00:00:00"/>
        <d v="2024-04-13T00:00:00"/>
        <d v="2024-04-21T00:00:00"/>
        <d v="2024-04-24T00:00:00"/>
        <d v="2019-04-11T00:00:00"/>
        <d v="2020-09-15T00:00:00"/>
        <d v="2021-08-18T00:00:00"/>
        <d v="2017-10-20T00:00:00"/>
        <d v="2024-05-15T00:00:00"/>
        <d v="2024-12-10T00:00:00"/>
        <d v="2022-02-03T00:00:00"/>
        <d v="2023-11-08T00:00:00"/>
        <d v="2019-10-09T00:00:00"/>
        <d v="2024-05-28T00:00:00"/>
        <d v="2023-01-11T00:00:00"/>
        <d v="2019-09-05T00:00:00"/>
        <d v="2018-09-21T00:00:00"/>
        <d v="2016-06-01T00:00:00"/>
        <d v="2018-05-20T00:00:00"/>
        <d v="2018-07-24T00:00:00"/>
        <d v="2024-06-18T00:00:00"/>
        <d v="2024-06-20T00:00:00"/>
        <d v="2024-06-23T00:00:00"/>
        <d v="2024-06-27T00:00:00"/>
        <d v="2015-10-05T00:00:00"/>
        <d v="2015-05-19T00:00:00"/>
        <d v="2020-06-03T00:00:00"/>
        <d v="2024-07-25T00:00:00"/>
        <d v="2018-10-26T00:00:00"/>
        <d v="2024-08-29T00:00:00"/>
        <d v="2023-10-25T00:00:00"/>
        <d v="2021-06-23T00:00:00"/>
        <d v="2024-09-27T00:00:00"/>
        <d v="2015-12-28T00:00:00"/>
        <d v="2017-03-07T00:00:00"/>
        <d v="2015-12-04T00:00:00"/>
        <d v="2024-10-08T00:00:00"/>
        <d v="2024-10-09T00:00:00"/>
        <d v="2016-05-02T00:00:00"/>
        <d v="2018-02-15T00:00:00"/>
        <d v="2024-10-19T00:00:00"/>
        <d v="2024-10-20T00:00:00"/>
        <d v="2024-10-21T00:00:00"/>
        <d v="2024-10-22T00:00:00"/>
        <d v="2019-05-23T00:00:00"/>
        <d v="2024-11-02T00:00:00"/>
        <d v="2024-11-07T00:00:00"/>
        <d v="2024-11-09T00:00:00"/>
        <d v="2024-11-10T00:00:00"/>
        <d v="2024-11-22T00:00:00"/>
        <d v="2024-11-14T00:00:00"/>
        <d v="2024-11-17T00:00:00"/>
        <d v="2021-11-04T00:00:00"/>
        <d v="2016-04-02T00:00:00"/>
        <d v="2024-11-30T00:00:00"/>
        <d v="2017-07-20T00:00:00"/>
        <d v="2024-12-03T00:00:00"/>
        <d v="2024-12-04T00:00:00"/>
        <d v="2021-05-27T00:00:00"/>
        <d v="2024-12-14T00:00:00"/>
        <d v="2024-12-15T00:00:00"/>
        <d v="2024-12-17T00:00:00"/>
        <d v="2023-06-20T00:00:00"/>
        <d v="2020-07-20T00:00:00"/>
        <d v="2024-06-17T00:00:00"/>
        <d v="2023-01-27T00:00:00"/>
        <d v="2024-12-29T00:00:00"/>
        <m/>
      </sharedItems>
      <fieldGroup par="32" base="3">
        <rangePr groupBy="months" startDate="2015-01-02T00:00:00" endDate="2024-12-30T00:00:00"/>
        <groupItems count="14">
          <s v="(en blanco)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30/12/2024"/>
        </groupItems>
      </fieldGroup>
    </cacheField>
    <cacheField name="DÍA" numFmtId="168">
      <sharedItems containsDate="1" containsBlank="1" containsMixedTypes="1" minDate="2015-01-02T00:00:00" maxDate="2024-12-30T00:00:00" count="893">
        <s v="domingo"/>
        <s v="miércoles"/>
        <s v="sábado"/>
        <s v="lunes"/>
        <s v="martes"/>
        <s v="jueves"/>
        <s v="viernes"/>
        <m/>
        <d v="2015-09-29T00:00:00" u="1"/>
        <d v="2018-09-29T00:00:00" u="1"/>
        <d v="2019-09-29T00:00:00" u="1"/>
        <d v="2021-09-29T00:00:00" u="1"/>
        <d v="2019-11-21T00:00:00" u="1"/>
        <d v="2021-10-25T00:00:00" u="1"/>
        <d v="2023-09-29T00:00:00" u="1"/>
        <d v="2024-09-29T00:00:00" u="1"/>
        <d v="2023-10-25T00:00:00" u="1"/>
        <d v="2021-12-17T00:00:00" u="1"/>
        <d v="2023-11-21T00:00:00" u="1"/>
        <d v="2024-11-21T00:00:00" u="1"/>
        <d v="2024-12-17T00:00:00" u="1"/>
        <d v="2017-11-23T00:00:00" u="1"/>
        <d v="2019-10-27T00:00:00" u="1"/>
        <d v="2018-11-23T00:00:00" u="1"/>
        <d v="2018-10-29T00:00:00" u="1"/>
        <d v="2021-10-29T00:00:00" u="1"/>
        <d v="2023-10-29T00:00:00" u="1"/>
        <d v="2024-10-29T00:00:00" u="1"/>
        <d v="2021-12-21T00:00:00" u="1"/>
        <d v="2015-01-02T00:00:00" u="1"/>
        <d v="2017-01-02T00:00:00" u="1"/>
        <d v="2024-01-02T00:00:00" u="1"/>
        <d v="2022-10-31T00:00:00" u="1"/>
        <d v="2023-10-31T00:00:00" u="1"/>
        <d v="2020-12-23T00:00:00" u="1"/>
        <d v="2021-12-23T00:00:00" u="1"/>
        <d v="2022-12-23T00:00:00" u="1"/>
        <d v="2023-12-23T00:00:00" u="1"/>
        <d v="2024-12-23T00:00:00" u="1"/>
        <d v="2015-01-04T00:00:00" u="1"/>
        <d v="2017-01-04T00:00:00" u="1"/>
        <d v="2018-01-04T00:00:00" u="1"/>
        <d v="2021-01-04T00:00:00" u="1"/>
        <d v="2021-11-29T00:00:00" u="1"/>
        <d v="2022-11-29T00:00:00" u="1"/>
        <d v="2023-12-25T00:00:00" u="1"/>
        <d v="2024-12-25T00:00:00" u="1"/>
        <d v="2016-02-02T00:00:00" u="1"/>
        <d v="2020-01-06T00:00:00" u="1"/>
        <d v="2020-02-02T00:00:00" u="1"/>
        <d v="2023-01-06T00:00:00" u="1"/>
        <d v="2023-02-02T00:00:00" u="1"/>
        <d v="2015-12-27T00:00:00" u="1"/>
        <d v="2016-12-27T00:00:00" u="1"/>
        <d v="2017-12-27T00:00:00" u="1"/>
        <d v="2020-12-27T00:00:00" u="1"/>
        <d v="2017-01-08T00:00:00" u="1"/>
        <d v="2018-01-08T00:00:00" u="1"/>
        <d v="2023-02-04T00:00:00" u="1"/>
        <d v="2017-12-29T00:00:00" u="1"/>
        <d v="2018-12-29T00:00:00" u="1"/>
        <d v="2020-12-29T00:00:00" u="1"/>
        <d v="2023-12-29T00:00:00" u="1"/>
        <d v="2024-12-29T00:00:00" u="1"/>
        <d v="2015-03-02T00:00:00" u="1"/>
        <d v="2016-03-02T00:00:00" u="1"/>
        <d v="2018-02-06T00:00:00" u="1"/>
        <d v="2017-03-02T00:00:00" u="1"/>
        <d v="2021-01-10T00:00:00" u="1"/>
        <d v="2020-02-06T00:00:00" u="1"/>
        <d v="2022-02-06T00:00:00" u="1"/>
        <d v="2024-03-02T00:00:00" u="1"/>
        <d v="2020-12-31T00:00:00" u="1"/>
        <d v="2021-12-31T00:00:00" u="1"/>
        <d v="2015-01-12T00:00:00" u="1"/>
        <d v="2016-02-08T00:00:00" u="1"/>
        <d v="2018-02-08T00:00:00" u="1"/>
        <d v="2017-03-04T00:00:00" u="1"/>
        <d v="2021-02-08T00:00:00" u="1"/>
        <d v="2023-01-12T00:00:00" u="1"/>
        <d v="2019-01-14T00:00:00" u="1"/>
        <d v="2020-01-14T00:00:00" u="1"/>
        <d v="2019-02-10T00:00:00" u="1"/>
        <d v="2016-04-02T00:00:00" u="1"/>
        <d v="2020-02-10T00:00:00" u="1"/>
        <d v="2022-01-14T00:00:00" u="1"/>
        <d v="2019-03-06T00:00:00" u="1"/>
        <d v="2024-01-14T00:00:00" u="1"/>
        <d v="2019-04-02T00:00:00" u="1"/>
        <d v="2022-04-02T00:00:00" u="1"/>
        <d v="2024-03-06T00:00:00" u="1"/>
        <d v="2023-04-02T00:00:00" u="1"/>
        <d v="2018-01-16T00:00:00" u="1"/>
        <d v="2015-04-04T00:00:00" u="1"/>
        <d v="2018-03-08T00:00:00" u="1"/>
        <d v="2020-02-12T00:00:00" u="1"/>
        <d v="2019-03-08T00:00:00" u="1"/>
        <d v="2023-01-16T00:00:00" u="1"/>
        <d v="2024-01-16T00:00:00" u="1"/>
        <d v="2019-04-04T00:00:00" u="1"/>
        <d v="2023-02-12T00:00:00" u="1"/>
        <d v="2022-03-08T00:00:00" u="1"/>
        <d v="2024-03-08T00:00:00" u="1"/>
        <d v="2015-01-18T00:00:00" u="1"/>
        <d v="2017-02-14T00:00:00" u="1"/>
        <d v="2016-03-10T00:00:00" u="1"/>
        <d v="2019-02-14T00:00:00" u="1"/>
        <d v="2021-01-18T00:00:00" u="1"/>
        <d v="2017-04-06T00:00:00" u="1"/>
        <d v="2016-05-02T00:00:00" u="1"/>
        <d v="2022-02-14T00:00:00" u="1"/>
        <d v="2024-01-18T00:00:00" u="1"/>
        <d v="2017-05-02T00:00:00" u="1"/>
        <d v="2019-04-06T00:00:00" u="1"/>
        <d v="2019-05-02T00:00:00" u="1"/>
        <d v="2021-04-06T00:00:00" u="1"/>
        <d v="2024-05-02T00:00:00" u="1"/>
        <d v="2017-02-16T00:00:00" u="1"/>
        <d v="2017-04-08T00:00:00" u="1"/>
        <d v="2021-02-16T00:00:00" u="1"/>
        <d v="2019-05-04T00:00:00" u="1"/>
        <d v="2024-03-12T00:00:00" u="1"/>
        <d v="2021-05-04T00:00:00" u="1"/>
        <d v="2022-05-04T00:00:00" u="1"/>
        <d v="2024-04-08T00:00:00" u="1"/>
        <d v="2015-02-18T00:00:00" u="1"/>
        <d v="2016-02-18T00:00:00" u="1"/>
        <d v="2022-01-22T00:00:00" u="1"/>
        <d v="2015-05-06T00:00:00" u="1"/>
        <d v="2022-02-18T00:00:00" u="1"/>
        <d v="2023-03-14T00:00:00" u="1"/>
        <d v="2019-06-02T00:00:00" u="1"/>
        <d v="2023-04-10T00:00:00" u="1"/>
        <d v="2022-05-06T00:00:00" u="1"/>
        <d v="2021-06-02T00:00:00" u="1"/>
        <d v="2023-05-06T00:00:00" u="1"/>
        <d v="2024-06-02T00:00:00" u="1"/>
        <d v="2019-01-24T00:00:00" u="1"/>
        <d v="2016-03-16T00:00:00" u="1"/>
        <d v="2020-01-24T00:00:00" u="1"/>
        <d v="2016-04-12T00:00:00" u="1"/>
        <d v="2018-03-16T00:00:00" u="1"/>
        <d v="2017-04-12T00:00:00" u="1"/>
        <d v="2019-03-16T00:00:00" u="1"/>
        <d v="2023-01-24T00:00:00" u="1"/>
        <d v="2015-06-04T00:00:00" u="1"/>
        <d v="2016-06-04T00:00:00" u="1"/>
        <d v="2017-06-04T00:00:00" u="1"/>
        <d v="2019-05-08T00:00:00" u="1"/>
        <d v="2022-04-12T00:00:00" u="1"/>
        <d v="2024-04-12T00:00:00" u="1"/>
        <d v="2022-06-04T00:00:00" u="1"/>
        <d v="2016-01-26T00:00:00" u="1"/>
        <d v="2021-02-22T00:00:00" u="1"/>
        <d v="2020-03-18T00:00:00" u="1"/>
        <d v="2024-01-26T00:00:00" u="1"/>
        <d v="2019-05-10T00:00:00" u="1"/>
        <d v="2024-03-18T00:00:00" u="1"/>
        <d v="2021-05-10T00:00:00" u="1"/>
        <d v="2018-07-02T00:00:00" u="1"/>
        <d v="2020-06-06T00:00:00" u="1"/>
        <d v="2019-07-02T00:00:00" u="1"/>
        <d v="2024-07-02T00:00:00" u="1"/>
        <d v="2016-02-24T00:00:00" u="1"/>
        <d v="2018-01-28T00:00:00" u="1"/>
        <d v="2019-01-28T00:00:00" u="1"/>
        <d v="2015-04-16T00:00:00" u="1"/>
        <d v="2021-01-28T00:00:00" u="1"/>
        <d v="2022-01-28T00:00:00" u="1"/>
        <d v="2015-05-12T00:00:00" u="1"/>
        <d v="2023-01-28T00:00:00" u="1"/>
        <d v="2024-01-28T00:00:00" u="1"/>
        <d v="2017-05-12T00:00:00" u="1"/>
        <d v="2023-02-24T00:00:00" u="1"/>
        <d v="2016-06-08T00:00:00" u="1"/>
        <d v="2024-02-24T00:00:00" u="1"/>
        <d v="2021-04-16T00:00:00" u="1"/>
        <d v="2016-07-04T00:00:00" u="1"/>
        <d v="2024-03-20T00:00:00" u="1"/>
        <d v="2021-05-12T00:00:00" u="1"/>
        <d v="2020-06-08T00:00:00" u="1"/>
        <d v="2019-07-04T00:00:00" u="1"/>
        <d v="2021-06-08T00:00:00" u="1"/>
        <d v="2015-02-26T00:00:00" u="1"/>
        <d v="2019-02-26T00:00:00" u="1"/>
        <d v="2020-02-26T00:00:00" u="1"/>
        <d v="2015-05-14T00:00:00" u="1"/>
        <d v="2019-03-22T00:00:00" u="1"/>
        <d v="2021-02-26T00:00:00" u="1"/>
        <d v="2015-06-10T00:00:00" u="1"/>
        <d v="2021-03-22T00:00:00" u="1"/>
        <d v="2016-06-10T00:00:00" u="1"/>
        <d v="2018-05-14T00:00:00" u="1"/>
        <d v="2017-06-10T00:00:00" u="1"/>
        <d v="2022-04-18T00:00:00" u="1"/>
        <d v="2019-07-06T00:00:00" u="1"/>
        <d v="2020-07-06T00:00:00" u="1"/>
        <d v="2024-06-10T00:00:00" u="1"/>
        <d v="2023-07-06T00:00:00" u="1"/>
        <d v="2016-04-20T00:00:00" u="1"/>
        <d v="2017-05-16T00:00:00" u="1"/>
        <d v="2019-04-20T00:00:00" u="1"/>
        <d v="2022-03-24T00:00:00" u="1"/>
        <d v="2018-06-12T00:00:00" u="1"/>
        <d v="2020-05-16T00:00:00" u="1"/>
        <d v="2016-08-04T00:00:00" u="1"/>
        <d v="2022-05-16T00:00:00" u="1"/>
        <d v="2019-07-08T00:00:00" u="1"/>
        <d v="2022-08-04T00:00:00" u="1"/>
        <d v="2023-08-04T00:00:00" u="1"/>
        <d v="2015-03-26T00:00:00" u="1"/>
        <d v="2016-03-26T00:00:00" u="1"/>
        <d v="2018-04-22T00:00:00" u="1"/>
        <d v="2020-03-26T00:00:00" u="1"/>
        <d v="2017-05-18T00:00:00" u="1"/>
        <d v="2020-04-22T00:00:00" u="1"/>
        <d v="2015-07-10T00:00:00" u="1"/>
        <d v="2023-03-26T00:00:00" u="1"/>
        <d v="2016-07-10T00:00:00" u="1"/>
        <d v="2020-05-18T00:00:00" u="1"/>
        <d v="2015-09-02T00:00:00" u="1"/>
        <d v="2019-07-10T00:00:00" u="1"/>
        <d v="2021-06-14T00:00:00" u="1"/>
        <d v="2023-05-18T00:00:00" u="1"/>
        <d v="2018-08-06T00:00:00" u="1"/>
        <d v="2021-07-10T00:00:00" u="1"/>
        <d v="2023-06-14T00:00:00" u="1"/>
        <d v="2018-09-02T00:00:00" u="1"/>
        <d v="2020-08-06T00:00:00" u="1"/>
        <d v="2022-07-10T00:00:00" u="1"/>
        <d v="2022-08-06T00:00:00" u="1"/>
        <d v="2015-04-24T00:00:00" u="1"/>
        <d v="2018-03-28T00:00:00" u="1"/>
        <d v="2019-03-28T00:00:00" u="1"/>
        <d v="2020-03-28T00:00:00" u="1"/>
        <d v="2017-05-20T00:00:00" u="1"/>
        <d v="2016-06-16T00:00:00" u="1"/>
        <d v="2018-05-20T00:00:00" u="1"/>
        <d v="2015-07-12T00:00:00" u="1"/>
        <d v="2016-07-12T00:00:00" u="1"/>
        <d v="2020-05-20T00:00:00" u="1"/>
        <d v="2024-03-28T00:00:00" u="1"/>
        <d v="2024-04-24T00:00:00" u="1"/>
        <d v="2015-09-04T00:00:00" u="1"/>
        <d v="2023-05-20T00:00:00" u="1"/>
        <d v="2024-05-20T00:00:00" u="1"/>
        <d v="2019-08-08T00:00:00" u="1"/>
        <d v="2023-06-16T00:00:00" u="1"/>
        <d v="2020-08-08T00:00:00" u="1"/>
        <d v="2015-03-30T00:00:00" u="1"/>
        <d v="2015-04-26T00:00:00" u="1"/>
        <d v="2019-04-26T00:00:00" u="1"/>
        <d v="2015-07-14T00:00:00" u="1"/>
        <d v="2018-06-18T00:00:00" u="1"/>
        <d v="2015-08-10T00:00:00" u="1"/>
        <d v="2019-06-18T00:00:00" u="1"/>
        <d v="2021-05-22T00:00:00" u="1"/>
        <d v="2024-04-26T00:00:00" u="1"/>
        <d v="2021-06-18T00:00:00" u="1"/>
        <d v="2016-09-06T00:00:00" u="1"/>
        <d v="2018-08-10T00:00:00" u="1"/>
        <d v="2017-09-06T00:00:00" u="1"/>
        <d v="2024-06-18T00:00:00" u="1"/>
        <d v="2021-09-06T00:00:00" u="1"/>
        <d v="2023-08-10T00:00:00" u="1"/>
        <d v="2022-10-02T00:00:00" u="1"/>
        <d v="2023-10-02T00:00:00" u="1"/>
        <d v="2015-05-24T00:00:00" u="1"/>
        <d v="2017-04-28T00:00:00" u="1"/>
        <d v="2015-06-20T00:00:00" u="1"/>
        <d v="2015-07-16T00:00:00" u="1"/>
        <d v="2019-05-24T00:00:00" u="1"/>
        <d v="2022-04-28T00:00:00" u="1"/>
        <d v="2019-06-20T00:00:00" u="1"/>
        <d v="2020-06-20T00:00:00" u="1"/>
        <d v="2016-09-08T00:00:00" u="1"/>
        <d v="2018-08-12T00:00:00" u="1"/>
        <d v="2022-06-20T00:00:00" u="1"/>
        <d v="2024-05-24T00:00:00" u="1"/>
        <d v="2017-09-08T00:00:00" u="1"/>
        <d v="2019-08-12T00:00:00" u="1"/>
        <d v="2023-06-20T00:00:00" u="1"/>
        <d v="2016-10-04T00:00:00" u="1"/>
        <d v="2020-08-12T00:00:00" u="1"/>
        <d v="2024-06-20T00:00:00" u="1"/>
        <d v="2023-07-16T00:00:00" u="1"/>
        <d v="2022-08-12T00:00:00" u="1"/>
        <d v="2019-10-04T00:00:00" u="1"/>
        <d v="2022-09-08T00:00:00" u="1"/>
        <d v="2024-08-12T00:00:00" u="1"/>
        <d v="2023-10-04T00:00:00" u="1"/>
        <d v="2024-10-04T00:00:00" u="1"/>
        <d v="2015-06-22T00:00:00" u="1"/>
        <d v="2019-04-30T00:00:00" u="1"/>
        <d v="2018-05-26T00:00:00" u="1"/>
        <d v="2019-05-26T00:00:00" u="1"/>
        <d v="2020-05-26T00:00:00" u="1"/>
        <d v="2024-04-30T00:00:00" u="1"/>
        <d v="2020-07-18T00:00:00" u="1"/>
        <d v="2022-06-22T00:00:00" u="1"/>
        <d v="2017-09-10T00:00:00" u="1"/>
        <d v="2020-08-14T00:00:00" u="1"/>
        <d v="2017-10-06T00:00:00" u="1"/>
        <d v="2021-10-06T00:00:00" u="1"/>
        <d v="2024-11-02T00:00:00" u="1"/>
        <d v="2016-05-28T00:00:00" u="1"/>
        <d v="2019-05-28T00:00:00" u="1"/>
        <d v="2020-05-28T00:00:00" u="1"/>
        <d v="2017-07-20T00:00:00" u="1"/>
        <d v="2021-05-28T00:00:00" u="1"/>
        <d v="2021-06-24T00:00:00" u="1"/>
        <d v="2023-05-28T00:00:00" u="1"/>
        <d v="2020-07-20T00:00:00" u="1"/>
        <d v="2024-05-28T00:00:00" u="1"/>
        <d v="2020-09-12T00:00:00" u="1"/>
        <d v="2022-08-16T00:00:00" u="1"/>
        <d v="2017-11-04T00:00:00" u="1"/>
        <d v="2020-11-04T00:00:00" u="1"/>
        <d v="2021-11-04T00:00:00" u="1"/>
        <d v="2023-10-08T00:00:00" u="1"/>
        <d v="2024-10-08T00:00:00" u="1"/>
        <d v="2015-05-30T00:00:00" u="1"/>
        <d v="2020-05-30T00:00:00" u="1"/>
        <d v="2017-08-18T00:00:00" u="1"/>
        <d v="2019-07-22T00:00:00" u="1"/>
        <d v="2021-06-26T00:00:00" u="1"/>
        <d v="2017-09-14T00:00:00" u="1"/>
        <d v="2023-06-26T00:00:00" u="1"/>
        <d v="2017-10-10T00:00:00" u="1"/>
        <d v="2019-09-14T00:00:00" u="1"/>
        <d v="2021-08-18T00:00:00" u="1"/>
        <d v="2024-07-22T00:00:00" u="1"/>
        <d v="2019-10-10T00:00:00" u="1"/>
        <d v="2016-12-02T00:00:00" u="1"/>
        <d v="2020-10-10T00:00:00" u="1"/>
        <d v="2018-12-02T00:00:00" u="1"/>
        <d v="2019-12-02T00:00:00" u="1"/>
        <d v="2021-11-06T00:00:00" u="1"/>
        <d v="2023-10-10T00:00:00" u="1"/>
        <d v="2022-12-02T00:00:00" u="1"/>
        <d v="2024-12-02T00:00:00" u="1"/>
        <d v="2017-06-28T00:00:00" u="1"/>
        <d v="2018-07-24T00:00:00" u="1"/>
        <d v="2016-09-16T00:00:00" u="1"/>
        <d v="2019-08-20T00:00:00" u="1"/>
        <d v="2023-06-28T00:00:00" u="1"/>
        <d v="2022-07-24T00:00:00" u="1"/>
        <d v="2017-10-12T00:00:00" u="1"/>
        <d v="2019-09-16T00:00:00" u="1"/>
        <d v="2018-10-12T00:00:00" u="1"/>
        <d v="2022-08-20T00:00:00" u="1"/>
        <d v="2024-07-24T00:00:00" u="1"/>
        <d v="2015-12-04T00:00:00" u="1"/>
        <d v="2018-11-08T00:00:00" u="1"/>
        <d v="2020-10-12T00:00:00" u="1"/>
        <d v="2022-11-08T00:00:00" u="1"/>
        <d v="2024-10-12T00:00:00" u="1"/>
        <d v="2023-11-08T00:00:00" u="1"/>
        <d v="2023-12-04T00:00:00" u="1"/>
        <d v="2024-12-04T00:00:00" u="1"/>
        <d v="2015-07-26T00:00:00" u="1"/>
        <d v="2016-07-26T00:00:00" u="1"/>
        <d v="2019-06-30T00:00:00" u="1"/>
        <d v="2022-06-30T00:00:00" u="1"/>
        <d v="2017-09-18T00:00:00" u="1"/>
        <d v="2021-07-26T00:00:00" u="1"/>
        <d v="2016-10-14T00:00:00" u="1"/>
        <d v="2018-09-18T00:00:00" u="1"/>
        <d v="2021-08-22T00:00:00" u="1"/>
        <d v="2017-11-10T00:00:00" u="1"/>
        <d v="2017-12-06T00:00:00" u="1"/>
        <d v="2023-10-14T00:00:00" u="1"/>
        <d v="2023-11-10T00:00:00" u="1"/>
        <d v="2024-11-10T00:00:00" u="1"/>
        <d v="2020-07-28T00:00:00" u="1"/>
        <d v="2017-09-20T00:00:00" u="1"/>
        <d v="2019-08-24T00:00:00" u="1"/>
        <d v="2022-07-28T00:00:00" u="1"/>
        <d v="2019-09-20T00:00:00" u="1"/>
        <d v="2019-10-16T00:00:00" u="1"/>
        <d v="2023-08-24T00:00:00" u="1"/>
        <d v="2020-10-16T00:00:00" u="1"/>
        <d v="2021-10-16T00:00:00" u="1"/>
        <d v="2015-09-22T00:00:00" u="1"/>
        <d v="2018-08-26T00:00:00" u="1"/>
        <d v="2021-07-30T00:00:00" u="1"/>
        <d v="2017-10-18T00:00:00" u="1"/>
        <d v="2021-08-26T00:00:00" u="1"/>
        <d v="2023-08-26T00:00:00" u="1"/>
        <d v="2020-10-18T00:00:00" u="1"/>
        <d v="2023-09-22T00:00:00" u="1"/>
        <d v="2020-11-14T00:00:00" u="1"/>
        <d v="2022-10-18T00:00:00" u="1"/>
        <d v="2021-11-14T00:00:00" u="1"/>
        <d v="2023-10-18T00:00:00" u="1"/>
        <d v="2022-11-14T00:00:00" u="1"/>
        <d v="2023-11-14T00:00:00" u="1"/>
        <d v="2024-11-14T00:00:00" u="1"/>
        <d v="2024-12-10T00:00:00" u="1"/>
        <d v="2015-08-28T00:00:00" u="1"/>
        <d v="2016-08-28T00:00:00" u="1"/>
        <d v="2015-10-20T00:00:00" u="1"/>
        <d v="2015-11-16T00:00:00" u="1"/>
        <d v="2017-10-20T00:00:00" u="1"/>
        <d v="2019-10-20T00:00:00" u="1"/>
        <d v="2023-08-28T00:00:00" u="1"/>
        <d v="2021-10-20T00:00:00" u="1"/>
        <d v="2018-12-12T00:00:00" u="1"/>
        <d v="2024-10-20T00:00:00" u="1"/>
        <d v="2015-08-30T00:00:00" u="1"/>
        <d v="2015-09-26T00:00:00" u="1"/>
        <d v="2016-09-26T00:00:00" u="1"/>
        <d v="2017-09-26T00:00:00" u="1"/>
        <d v="2016-10-22T00:00:00" u="1"/>
        <d v="2015-11-18T00:00:00" u="1"/>
        <d v="2022-08-30T00:00:00" u="1"/>
        <d v="2017-11-18T00:00:00" u="1"/>
        <d v="2021-09-26T00:00:00" u="1"/>
        <d v="2020-11-18T00:00:00" u="1"/>
        <d v="2022-10-22T00:00:00" u="1"/>
        <d v="2019-12-14T00:00:00" u="1"/>
        <d v="2024-10-22T00:00:00" u="1"/>
        <d v="2023-11-18T00:00:00" u="1"/>
        <d v="2023-12-14T00:00:00" u="1"/>
        <d v="2024-12-14T00:00:00" u="1"/>
        <d v="2015-12-16T00:00:00" u="1"/>
        <d v="2019-10-24T00:00:00" u="1"/>
        <d v="2016-12-16T00:00:00" u="1"/>
        <d v="2018-11-20T00:00:00" u="1"/>
        <d v="2023-12-16T00:00:00" u="1"/>
        <d v="2016-10-26T00:00:00" u="1"/>
        <d v="2019-09-30T00:00:00" u="1"/>
        <d v="2018-10-26T00:00:00" u="1"/>
        <d v="2015-12-18T00:00:00" u="1"/>
        <d v="2020-10-26T00:00:00" u="1"/>
        <d v="2022-09-30T00:00:00" u="1"/>
        <d v="2021-10-26T00:00:00" u="1"/>
        <d v="2024-11-22T00:00:00" u="1"/>
        <d v="2017-10-28T00:00:00" u="1"/>
        <d v="2018-10-28T00:00:00" u="1"/>
        <d v="2016-12-20T00:00:00" u="1"/>
        <d v="2023-12-20T00:00:00" u="1"/>
        <d v="2017-01-01T00:00:00" u="1"/>
        <d v="2024-01-01T00:00:00" u="1"/>
        <d v="2017-10-30T00:00:00" u="1"/>
        <d v="2016-11-26T00:00:00" u="1"/>
        <d v="2017-11-26T00:00:00" u="1"/>
        <d v="2020-10-30T00:00:00" u="1"/>
        <d v="2019-11-26T00:00:00" u="1"/>
        <d v="2018-12-22T00:00:00" u="1"/>
        <d v="2019-12-22T00:00:00" u="1"/>
        <d v="2023-11-26T00:00:00" u="1"/>
        <d v="2024-11-26T00:00:00" u="1"/>
        <d v="2024-12-22T00:00:00" u="1"/>
        <d v="2015-01-03T00:00:00" u="1"/>
        <d v="2018-11-28T00:00:00" u="1"/>
        <d v="2017-12-24T00:00:00" u="1"/>
        <d v="2019-11-28T00:00:00" u="1"/>
        <d v="2018-12-24T00:00:00" u="1"/>
        <d v="2023-11-28T00:00:00" u="1"/>
        <d v="2016-01-05T00:00:00" u="1"/>
        <d v="2017-01-05T00:00:00" u="1"/>
        <d v="2016-02-01T00:00:00" u="1"/>
        <d v="2021-01-05T00:00:00" u="1"/>
        <d v="2022-01-05T00:00:00" u="1"/>
        <d v="2024-02-01T00:00:00" u="1"/>
        <d v="2015-12-26T00:00:00" u="1"/>
        <d v="2016-12-26T00:00:00" u="1"/>
        <d v="2020-11-30T00:00:00" u="1"/>
        <d v="2022-11-30T00:00:00" u="1"/>
        <d v="2024-11-30T00:00:00" u="1"/>
        <d v="2015-02-03T00:00:00" u="1"/>
        <d v="2017-01-07T00:00:00" u="1"/>
        <d v="2016-02-03T00:00:00" u="1"/>
        <d v="2019-01-07T00:00:00" u="1"/>
        <d v="2019-02-03T00:00:00" u="1"/>
        <d v="2021-01-07T00:00:00" u="1"/>
        <d v="2022-01-07T00:00:00" u="1"/>
        <d v="2022-02-03T00:00:00" u="1"/>
        <d v="2024-01-07T00:00:00" u="1"/>
        <d v="2015-12-28T00:00:00" u="1"/>
        <d v="2016-12-28T00:00:00" u="1"/>
        <d v="2020-12-28T00:00:00" u="1"/>
        <d v="2022-12-28T00:00:00" u="1"/>
        <d v="2023-12-28T00:00:00" u="1"/>
        <d v="2024-12-28T00:00:00" u="1"/>
        <d v="2015-02-05T00:00:00" u="1"/>
        <d v="2016-03-01T00:00:00" u="1"/>
        <d v="2020-01-09T00:00:00" u="1"/>
        <d v="2021-02-05T00:00:00" u="1"/>
        <d v="2020-03-01T00:00:00" u="1"/>
        <d v="2024-01-09T00:00:00" u="1"/>
        <d v="2017-12-30T00:00:00" u="1"/>
        <d v="2022-12-30T00:00:00" u="1"/>
        <d v="2016-01-11T00:00:00" u="1"/>
        <d v="2018-02-07T00:00:00" u="1"/>
        <d v="2023-01-11T00:00:00" u="1"/>
        <d v="2021-03-03T00:00:00" u="1"/>
        <d v="2023-02-07T00:00:00" u="1"/>
        <d v="2023-03-03T00:00:00" u="1"/>
        <d v="2024-03-03T00:00:00" u="1"/>
        <d v="2015-01-13T00:00:00" u="1"/>
        <d v="2017-02-09T00:00:00" u="1"/>
        <d v="2018-02-09T00:00:00" u="1"/>
        <d v="2019-02-09T00:00:00" u="1"/>
        <d v="2018-03-05T00:00:00" u="1"/>
        <d v="2022-01-13T00:00:00" u="1"/>
        <d v="2023-01-13T00:00:00" u="1"/>
        <d v="2023-03-05T00:00:00" u="1"/>
        <d v="2017-03-07T00:00:00" u="1"/>
        <d v="2022-01-15T00:00:00" u="1"/>
        <d v="2023-01-15T00:00:00" u="1"/>
        <d v="2020-03-07T00:00:00" u="1"/>
        <d v="2022-02-11T00:00:00" u="1"/>
        <d v="2023-02-11T00:00:00" u="1"/>
        <d v="2020-04-03T00:00:00" u="1"/>
        <d v="2023-04-03T00:00:00" u="1"/>
        <d v="2024-04-03T00:00:00" u="1"/>
        <d v="2015-01-17T00:00:00" u="1"/>
        <d v="2015-02-13T00:00:00" u="1"/>
        <d v="2016-02-13T00:00:00" u="1"/>
        <d v="2018-01-17T00:00:00" u="1"/>
        <d v="2020-01-17T00:00:00" u="1"/>
        <d v="2016-04-05T00:00:00" u="1"/>
        <d v="2019-04-05T00:00:00" u="1"/>
        <d v="2022-03-09T00:00:00" u="1"/>
        <d v="2019-05-01T00:00:00" u="1"/>
        <d v="2022-05-01T00:00:00" u="1"/>
        <d v="2024-05-01T00:00:00" u="1"/>
        <d v="2019-01-19T00:00:00" u="1"/>
        <d v="2018-02-15T00:00:00" u="1"/>
        <d v="2020-01-19T00:00:00" u="1"/>
        <d v="2015-04-07T00:00:00" u="1"/>
        <d v="2016-04-07T00:00:00" u="1"/>
        <d v="2015-05-03T00:00:00" u="1"/>
        <d v="2023-01-19T00:00:00" u="1"/>
        <d v="2022-02-15T00:00:00" u="1"/>
        <d v="2021-03-11T00:00:00" u="1"/>
        <d v="2019-05-03T00:00:00" u="1"/>
        <d v="2020-05-03T00:00:00" u="1"/>
        <d v="2024-04-07T00:00:00" u="1"/>
        <d v="2015-02-17T00:00:00" u="1"/>
        <d v="2018-01-21T00:00:00" u="1"/>
        <d v="2017-02-17T00:00:00" u="1"/>
        <d v="2016-05-05T00:00:00" u="1"/>
        <d v="2018-04-09T00:00:00" u="1"/>
        <d v="2022-02-17T00:00:00" u="1"/>
        <d v="2024-01-21T00:00:00" u="1"/>
        <d v="2016-06-01T00:00:00" u="1"/>
        <d v="2018-05-05T00:00:00" u="1"/>
        <d v="2023-03-13T00:00:00" u="1"/>
        <d v="2020-05-05T00:00:00" u="1"/>
        <d v="2024-04-09T00:00:00" u="1"/>
        <d v="2021-06-01T00:00:00" u="1"/>
        <d v="2018-01-23T00:00:00" u="1"/>
        <d v="2019-01-23T00:00:00" u="1"/>
        <d v="2020-01-23T00:00:00" u="1"/>
        <d v="2017-03-15T00:00:00" u="1"/>
        <d v="2021-01-23T00:00:00" u="1"/>
        <d v="2017-04-11T00:00:00" u="1"/>
        <d v="2021-02-19T00:00:00" u="1"/>
        <d v="2016-05-07T00:00:00" u="1"/>
        <d v="2022-02-19T00:00:00" u="1"/>
        <d v="2024-01-23T00:00:00" u="1"/>
        <d v="2015-06-03T00:00:00" u="1"/>
        <d v="2017-05-07T00:00:00" u="1"/>
        <d v="2019-04-11T00:00:00" u="1"/>
        <d v="2016-06-03T00:00:00" u="1"/>
        <d v="2022-03-15T00:00:00" u="1"/>
        <d v="2023-03-15T00:00:00" u="1"/>
        <d v="2020-05-07T00:00:00" u="1"/>
        <d v="2020-06-03T00:00:00" u="1"/>
        <d v="2021-06-03T00:00:00" u="1"/>
        <d v="2022-06-03T00:00:00" u="1"/>
        <d v="2024-05-07T00:00:00" u="1"/>
        <d v="2024-06-03T00:00:00" u="1"/>
        <d v="2017-01-25T00:00:00" u="1"/>
        <d v="2018-01-25T00:00:00" u="1"/>
        <d v="2016-03-17T00:00:00" u="1"/>
        <d v="2018-02-21T00:00:00" u="1"/>
        <d v="2016-04-13T00:00:00" u="1"/>
        <d v="2020-02-21T00:00:00" u="1"/>
        <d v="2017-04-13T00:00:00" u="1"/>
        <d v="2015-06-05T00:00:00" u="1"/>
        <d v="2024-04-13T00:00:00" u="1"/>
        <d v="2020-07-01T00:00:00" u="1"/>
        <d v="2021-07-01T00:00:00" u="1"/>
        <d v="2015-02-23T00:00:00" u="1"/>
        <d v="2017-01-27T00:00:00" u="1"/>
        <d v="2018-01-27T00:00:00" u="1"/>
        <d v="2019-01-27T00:00:00" u="1"/>
        <d v="2020-01-27T00:00:00" u="1"/>
        <d v="2017-03-19T00:00:00" u="1"/>
        <d v="2019-03-19T00:00:00" u="1"/>
        <d v="2023-01-27T00:00:00" u="1"/>
        <d v="2016-05-11T00:00:00" u="1"/>
        <d v="2023-02-23T00:00:00" u="1"/>
        <d v="2016-06-07T00:00:00" u="1"/>
        <d v="2021-04-15T00:00:00" u="1"/>
        <d v="2024-03-19T00:00:00" u="1"/>
        <d v="2023-04-15T00:00:00" u="1"/>
        <d v="2020-06-07T00:00:00" u="1"/>
        <d v="2022-05-11T00:00:00" u="1"/>
        <d v="2024-04-15T00:00:00" u="1"/>
        <d v="2023-07-03T00:00:00" u="1"/>
        <d v="2024-07-03T00:00:00" u="1"/>
        <d v="2017-02-25T00:00:00" u="1"/>
        <d v="2015-04-17T00:00:00" u="1"/>
        <d v="2018-03-21T00:00:00" u="1"/>
        <d v="2017-04-17T00:00:00" u="1"/>
        <d v="2016-05-13T00:00:00" u="1"/>
        <d v="2020-03-21T00:00:00" u="1"/>
        <d v="2016-06-09T00:00:00" u="1"/>
        <d v="2018-05-13T00:00:00" u="1"/>
        <d v="2022-03-21T00:00:00" u="1"/>
        <d v="2015-07-05T00:00:00" u="1"/>
        <d v="2020-05-13T00:00:00" u="1"/>
        <d v="2022-04-17T00:00:00" u="1"/>
        <d v="2017-07-05T00:00:00" u="1"/>
        <d v="2019-06-09T00:00:00" u="1"/>
        <d v="2023-05-13T00:00:00" u="1"/>
        <d v="2018-08-01T00:00:00" u="1"/>
        <d v="2020-07-05T00:00:00" u="1"/>
        <d v="2024-05-13T00:00:00" u="1"/>
        <d v="2019-08-01T00:00:00" u="1"/>
        <d v="2021-08-01T00:00:00" u="1"/>
        <d v="2018-02-27T00:00:00" u="1"/>
        <d v="2020-01-31T00:00:00" u="1"/>
        <d v="2017-03-23T00:00:00" u="1"/>
        <d v="2019-02-27T00:00:00" u="1"/>
        <d v="2021-01-31T00:00:00" u="1"/>
        <d v="2020-02-27T00:00:00" u="1"/>
        <d v="2017-04-19T00:00:00" u="1"/>
        <d v="2023-01-31T00:00:00" u="1"/>
        <d v="2018-05-15T00:00:00" u="1"/>
        <d v="2018-06-11T00:00:00" u="1"/>
        <d v="2023-05-15T00:00:00" u="1"/>
        <d v="2018-08-03T00:00:00" u="1"/>
        <d v="2022-06-11T00:00:00" u="1"/>
        <d v="2024-05-15T00:00:00" u="1"/>
        <d v="2021-08-03T00:00:00" u="1"/>
        <d v="2023-07-07T00:00:00" u="1"/>
        <d v="2022-08-03T00:00:00" u="1"/>
        <d v="2016-02-29T00:00:00" u="1"/>
        <d v="2015-03-25T00:00:00" u="1"/>
        <d v="2016-04-21T00:00:00" u="1"/>
        <d v="2015-05-17T00:00:00" u="1"/>
        <d v="2019-03-25T00:00:00" u="1"/>
        <d v="2016-05-17T00:00:00" u="1"/>
        <d v="2021-03-25T00:00:00" u="1"/>
        <d v="2021-04-21T00:00:00" u="1"/>
        <d v="2018-06-13T00:00:00" u="1"/>
        <d v="2020-05-17T00:00:00" u="1"/>
        <d v="2018-07-09T00:00:00" u="1"/>
        <d v="2020-06-13T00:00:00" u="1"/>
        <d v="2024-04-21T00:00:00" u="1"/>
        <d v="2015-09-01T00:00:00" u="1"/>
        <d v="2017-08-05T00:00:00" u="1"/>
        <d v="2021-06-13T00:00:00" u="1"/>
        <d v="2017-09-01T00:00:00" u="1"/>
        <d v="2019-08-05T00:00:00" u="1"/>
        <d v="2019-09-01T00:00:00" u="1"/>
        <d v="2021-08-05T00:00:00" u="1"/>
        <d v="2020-09-01T00:00:00" u="1"/>
        <d v="2021-09-01T00:00:00" u="1"/>
        <d v="2023-08-05T00:00:00" u="1"/>
        <d v="2022-09-01T00:00:00" u="1"/>
        <d v="2023-09-01T00:00:00" u="1"/>
        <d v="2015-04-23T00:00:00" u="1"/>
        <d v="2015-05-19T00:00:00" u="1"/>
        <d v="2017-04-23T00:00:00" u="1"/>
        <d v="2016-05-19T00:00:00" u="1"/>
        <d v="2021-04-23T00:00:00" u="1"/>
        <d v="2023-03-27T00:00:00" u="1"/>
        <d v="2016-07-11T00:00:00" u="1"/>
        <d v="2018-06-15T00:00:00" u="1"/>
        <d v="2022-04-23T00:00:00" u="1"/>
        <d v="2019-06-15T00:00:00" u="1"/>
        <d v="2018-07-11T00:00:00" u="1"/>
        <d v="2020-06-15T00:00:00" u="1"/>
        <d v="2015-09-03T00:00:00" u="1"/>
        <d v="2016-09-03T00:00:00" u="1"/>
        <d v="2019-08-07T00:00:00" u="1"/>
        <d v="2021-08-07T00:00:00" u="1"/>
        <d v="2020-09-03T00:00:00" u="1"/>
        <d v="2021-09-03T00:00:00" u="1"/>
        <d v="2024-09-03T00:00:00" u="1"/>
        <d v="2016-04-25T00:00:00" u="1"/>
        <d v="2017-04-25T00:00:00" u="1"/>
        <d v="2019-03-29T00:00:00" u="1"/>
        <d v="2019-04-25T00:00:00" u="1"/>
        <d v="2021-03-29T00:00:00" u="1"/>
        <d v="2016-06-17T00:00:00" u="1"/>
        <d v="2022-03-29T00:00:00" u="1"/>
        <d v="2019-06-17T00:00:00" u="1"/>
        <d v="2021-05-21T00:00:00" u="1"/>
        <d v="2019-07-13T00:00:00" u="1"/>
        <d v="2019-08-09T00:00:00" u="1"/>
        <d v="2021-07-13T00:00:00" u="1"/>
        <d v="2024-06-17T00:00:00" u="1"/>
        <d v="2019-09-05T00:00:00" u="1"/>
        <d v="2023-07-13T00:00:00" u="1"/>
        <d v="2019-10-01T00:00:00" u="1"/>
        <d v="2022-09-05T00:00:00" u="1"/>
        <d v="2021-10-01T00:00:00" u="1"/>
        <d v="2024-10-01T00:00:00" u="1"/>
        <d v="2016-03-31T00:00:00" u="1"/>
        <d v="2019-04-27T00:00:00" u="1"/>
        <d v="2018-05-23T00:00:00" u="1"/>
        <d v="2020-04-27T00:00:00" u="1"/>
        <d v="2022-03-31T00:00:00" u="1"/>
        <d v="2019-05-23T00:00:00" u="1"/>
        <d v="2021-04-27T00:00:00" u="1"/>
        <d v="2023-03-31T00:00:00" u="1"/>
        <d v="2021-05-23T00:00:00" u="1"/>
        <d v="2023-04-27T00:00:00" u="1"/>
        <d v="2015-09-07T00:00:00" u="1"/>
        <d v="2020-07-15T00:00:00" u="1"/>
        <d v="2024-05-23T00:00:00" u="1"/>
        <d v="2015-10-03T00:00:00" u="1"/>
        <d v="2016-10-03T00:00:00" u="1"/>
        <d v="2018-09-07T00:00:00" u="1"/>
        <d v="2020-08-11T00:00:00" u="1"/>
        <d v="2022-07-15T00:00:00" u="1"/>
        <d v="2017-10-03T00:00:00" u="1"/>
        <d v="2019-09-07T00:00:00" u="1"/>
        <d v="2021-08-11T00:00:00" u="1"/>
        <d v="2023-07-15T00:00:00" u="1"/>
        <d v="2021-09-07T00:00:00" u="1"/>
        <d v="2024-10-03T00:00:00" u="1"/>
        <d v="2018-04-29T00:00:00" u="1"/>
        <d v="2017-05-25T00:00:00" u="1"/>
        <d v="2019-04-29T00:00:00" u="1"/>
        <d v="2017-06-21T00:00:00" u="1"/>
        <d v="2015-08-13T00:00:00" u="1"/>
        <d v="2018-07-17T00:00:00" u="1"/>
        <d v="2020-06-21T00:00:00" u="1"/>
        <d v="2022-05-25T00:00:00" u="1"/>
        <d v="2015-09-09T00:00:00" u="1"/>
        <d v="2023-05-25T00:00:00" u="1"/>
        <d v="2015-10-05T00:00:00" u="1"/>
        <d v="2019-08-13T00:00:00" u="1"/>
        <d v="2020-08-13T00:00:00" u="1"/>
        <d v="2019-09-09T00:00:00" u="1"/>
        <d v="2023-07-17T00:00:00" u="1"/>
        <d v="2018-10-05T00:00:00" u="1"/>
        <d v="2022-08-13T00:00:00" u="1"/>
        <d v="2017-11-01T00:00:00" u="1"/>
        <d v="2021-09-09T00:00:00" u="1"/>
        <d v="2021-10-05T00:00:00" u="1"/>
        <d v="2022-11-01T00:00:00" u="1"/>
        <d v="2016-05-27T00:00:00" u="1"/>
        <d v="2017-05-27T00:00:00" u="1"/>
        <d v="2021-05-27T00:00:00" u="1"/>
        <d v="2015-09-11T00:00:00" u="1"/>
        <d v="2021-06-23T00:00:00" u="1"/>
        <d v="2023-05-27T00:00:00" u="1"/>
        <d v="2016-09-11T00:00:00" u="1"/>
        <d v="2019-08-15T00:00:00" u="1"/>
        <d v="2023-06-23T00:00:00" u="1"/>
        <d v="2016-10-07T00:00:00" u="1"/>
        <d v="2024-06-23T00:00:00" u="1"/>
        <d v="2019-09-11T00:00:00" u="1"/>
        <d v="2022-08-15T00:00:00" u="1"/>
        <d v="2021-09-11T00:00:00" u="1"/>
        <d v="2019-11-03T00:00:00" u="1"/>
        <d v="2023-09-11T00:00:00" u="1"/>
        <d v="2020-11-03T00:00:00" u="1"/>
        <d v="2023-11-03T00:00:00" u="1"/>
        <d v="2018-05-29T00:00:00" u="1"/>
        <d v="2017-06-25T00:00:00" u="1"/>
        <d v="2019-05-29T00:00:00" u="1"/>
        <d v="2017-08-17T00:00:00" u="1"/>
        <d v="2023-05-29T00:00:00" u="1"/>
        <d v="2024-05-29T00:00:00" u="1"/>
        <d v="2016-10-09T00:00:00" u="1"/>
        <d v="2018-10-09T00:00:00" u="1"/>
        <d v="2019-10-09T00:00:00" u="1"/>
        <d v="2023-09-13T00:00:00" u="1"/>
        <d v="2018-12-01T00:00:00" u="1"/>
        <d v="2019-12-01T00:00:00" u="1"/>
        <d v="2020-12-01T00:00:00" u="1"/>
        <d v="2024-10-09T00:00:00" u="1"/>
        <d v="2022-12-01T00:00:00" u="1"/>
        <d v="2023-12-01T00:00:00" u="1"/>
        <d v="2015-05-31T00:00:00" u="1"/>
        <d v="2016-05-31T00:00:00" u="1"/>
        <d v="2015-06-27T00:00:00" u="1"/>
        <d v="2016-08-19T00:00:00" u="1"/>
        <d v="2018-07-23T00:00:00" u="1"/>
        <d v="2015-09-15T00:00:00" u="1"/>
        <d v="2019-07-23T00:00:00" u="1"/>
        <d v="2022-06-27T00:00:00" u="1"/>
        <d v="2018-09-15T00:00:00" u="1"/>
        <d v="2020-08-19T00:00:00" u="1"/>
        <d v="2024-06-27T00:00:00" u="1"/>
        <d v="2020-09-15T00:00:00" u="1"/>
        <d v="2022-08-19T00:00:00" u="1"/>
        <d v="2023-08-19T00:00:00" u="1"/>
        <d v="2019-11-07T00:00:00" u="1"/>
        <d v="2020-11-07T00:00:00" u="1"/>
        <d v="2022-10-11T00:00:00" u="1"/>
        <d v="2024-09-15T00:00:00" u="1"/>
        <d v="2020-12-03T00:00:00" u="1"/>
        <d v="2022-12-03T00:00:00" u="1"/>
        <d v="2024-11-07T00:00:00" u="1"/>
        <d v="2023-12-03T00:00:00" u="1"/>
        <d v="2024-12-03T00:00:00" u="1"/>
        <d v="2016-06-29T00:00:00" u="1"/>
        <d v="2017-06-29T00:00:00" u="1"/>
        <d v="2016-07-25T00:00:00" u="1"/>
        <d v="2017-07-25T00:00:00" u="1"/>
        <d v="2019-06-29T00:00:00" u="1"/>
        <d v="2017-08-21T00:00:00" u="1"/>
        <d v="2019-08-21T00:00:00" u="1"/>
        <d v="2019-09-17T00:00:00" u="1"/>
        <d v="2021-08-21T00:00:00" u="1"/>
        <d v="2024-07-25T00:00:00" u="1"/>
        <d v="2023-08-21T00:00:00" u="1"/>
        <d v="2016-12-05T00:00:00" u="1"/>
        <d v="2023-09-17T00:00:00" u="1"/>
        <d v="2020-11-09T00:00:00" u="1"/>
        <d v="2024-09-17T00:00:00" u="1"/>
        <d v="2019-12-05T00:00:00" u="1"/>
        <d v="2023-10-13T00:00:00" u="1"/>
        <d v="2024-10-13T00:00:00" u="1"/>
        <d v="2024-11-09T00:00:00" u="1"/>
        <d v="2016-07-27T00:00:00" u="1"/>
        <d v="2015-08-23T00:00:00" u="1"/>
        <d v="2016-09-19T00:00:00" u="1"/>
        <d v="2017-09-19T00:00:00" u="1"/>
        <d v="2021-08-23T00:00:00" u="1"/>
        <d v="2017-11-11T00:00:00" u="1"/>
        <d v="2019-10-15T00:00:00" u="1"/>
        <d v="2023-08-23T00:00:00" u="1"/>
        <d v="2016-12-07T00:00:00" u="1"/>
        <d v="2018-11-11T00:00:00" u="1"/>
        <d v="2020-12-07T00:00:00" u="1"/>
        <d v="2015-07-29T00:00:00" u="1"/>
        <d v="2018-07-29T00:00:00" u="1"/>
        <d v="2017-08-25T00:00:00" u="1"/>
        <d v="2019-07-29T00:00:00" u="1"/>
        <d v="2021-07-29T00:00:00" u="1"/>
        <d v="2018-09-21T00:00:00" u="1"/>
        <d v="2021-08-25T00:00:00" u="1"/>
        <d v="2023-07-29T00:00:00" u="1"/>
        <d v="2021-09-21T00:00:00" u="1"/>
        <d v="2019-11-13T00:00:00" u="1"/>
        <d v="2018-12-09T00:00:00" u="1"/>
        <d v="2020-11-13T00:00:00" u="1"/>
        <d v="2021-12-09T00:00:00" u="1"/>
        <d v="2024-11-13T00:00:00" u="1"/>
        <d v="2016-08-27T00:00:00" u="1"/>
        <d v="2019-08-27T00:00:00" u="1"/>
        <d v="2021-08-27T00:00:00" u="1"/>
        <d v="2023-07-31T00:00:00" u="1"/>
        <d v="2019-10-19T00:00:00" u="1"/>
        <d v="2018-11-15T00:00:00" u="1"/>
        <d v="2020-10-19T00:00:00" u="1"/>
        <d v="2019-11-15T00:00:00" u="1"/>
        <d v="2020-11-15T00:00:00" u="1"/>
        <d v="2019-12-11T00:00:00" u="1"/>
        <d v="2022-11-15T00:00:00" u="1"/>
        <d v="2024-10-19T00:00:00" u="1"/>
        <d v="2023-11-15T00:00:00" u="1"/>
        <d v="2024-11-15T00:00:00" u="1"/>
        <d v="2023-12-11T00:00:00" u="1"/>
        <d v="2015-09-25T00:00:00" u="1"/>
        <d v="2018-08-29T00:00:00" u="1"/>
        <d v="2017-10-21T00:00:00" u="1"/>
        <d v="2018-10-21T00:00:00" u="1"/>
        <d v="2020-10-21T00:00:00" u="1"/>
        <d v="2022-09-25T00:00:00" u="1"/>
        <d v="2024-08-29T00:00:00" u="1"/>
        <d v="2019-11-17T00:00:00" u="1"/>
        <d v="2021-10-21T00:00:00" u="1"/>
        <d v="2022-10-21T00:00:00" u="1"/>
        <d v="2022-11-17T00:00:00" u="1"/>
        <d v="2024-10-21T00:00:00" u="1"/>
        <d v="2024-11-17T00:00:00" u="1"/>
        <d v="2015-08-31T00:00:00" u="1"/>
        <d v="2016-09-27T00:00:00" u="1"/>
        <d v="2018-08-31T00:00:00" u="1"/>
        <d v="2015-10-23T00:00:00" u="1"/>
        <d v="2019-08-31T00:00:00" u="1"/>
        <d v="2019-09-27T00:00:00" u="1"/>
        <d v="2017-11-19T00:00:00" u="1"/>
        <d v="2016-12-15T00:00:00" u="1"/>
        <d v="2021-10-23T00:00:00" u="1"/>
        <d v="2023-09-27T00:00:00" u="1"/>
        <d v="2024-09-27T00:00:00" u="1"/>
        <d v="2020-12-15T00:00:00" u="1"/>
        <d v="2024-12-15T00:00:00" u="1"/>
      </sharedItems>
    </cacheField>
    <cacheField name="Hora" numFmtId="0">
      <sharedItems containsNonDate="0" containsDate="1" containsString="0" containsBlank="1" minDate="1899-12-30T00:02:00" maxDate="1899-12-30T23:59:00" count="694">
        <d v="1899-12-30T23:58:00"/>
        <d v="1899-12-30T10:06:00"/>
        <d v="1899-12-30T21:00:00"/>
        <d v="1899-12-30T19:07:00"/>
        <d v="1899-12-30T19:05:00"/>
        <d v="1899-12-30T17:47:00"/>
        <d v="1899-12-30T06:17:00"/>
        <d v="1899-12-30T20:12:00"/>
        <d v="1899-12-30T10:54:00"/>
        <d v="1899-12-30T09:09:00"/>
        <d v="1899-12-30T12:56:00"/>
        <d v="1899-12-30T19:52:00"/>
        <d v="1899-12-30T14:14:00"/>
        <d v="1899-12-30T16:44:00"/>
        <d v="1899-12-30T16:25:00"/>
        <d v="1899-12-30T03:57:00"/>
        <d v="1899-12-30T18:28:00"/>
        <d v="1899-12-30T06:31:00"/>
        <d v="1899-12-30T22:53:00"/>
        <d v="1899-12-30T05:41:00"/>
        <d v="1899-12-30T21:03:00"/>
        <d v="1899-12-30T12:27:00"/>
        <d v="1899-12-30T14:31:00"/>
        <d v="1899-12-30T16:42:00"/>
        <d v="1899-12-30T09:47:00"/>
        <d v="1899-12-30T15:46:00"/>
        <d v="1899-12-30T23:09:00"/>
        <d v="1899-12-30T19:20:00"/>
        <d v="1899-12-30T21:06:00"/>
        <d v="1899-12-30T14:55:00"/>
        <d v="1899-12-30T15:55:00"/>
        <d v="1899-12-30T12:59:00"/>
        <d v="1899-12-30T05:31:00"/>
        <d v="1899-12-30T19:54:00"/>
        <d v="1899-12-30T23:30:00"/>
        <d v="1899-12-30T20:20:00"/>
        <d v="1899-12-30T14:27:00"/>
        <d v="1899-12-30T10:18:00"/>
        <d v="1899-12-30T15:23:00"/>
        <d v="1899-12-30T02:59:00"/>
        <d v="1899-12-30T12:46:00"/>
        <d v="1899-12-30T19:38:00"/>
        <d v="1899-12-30T15:29:00"/>
        <d v="1899-12-30T09:56:00"/>
        <d v="1899-12-30T23:33:00"/>
        <d v="1899-12-30T12:19:00"/>
        <d v="1899-12-30T14:45:00"/>
        <d v="1899-12-30T16:33:00"/>
        <d v="1899-12-30T11:31:00"/>
        <d v="1899-12-30T15:16:00"/>
        <d v="1899-12-30T11:05:00"/>
        <d v="1899-12-30T09:05:00"/>
        <d v="1899-12-30T14:59:00"/>
        <d v="1899-12-30T20:19:00"/>
        <d v="1899-12-30T01:13:00"/>
        <d v="1899-12-30T19:47:00"/>
        <d v="1899-12-30T10:42:00"/>
        <d v="1899-12-30T21:08:00"/>
        <d v="1899-12-30T19:06:00"/>
        <d v="1899-12-30T19:25:00"/>
        <d v="1899-12-30T16:52:00"/>
        <d v="1899-12-30T11:11:00"/>
        <d v="1899-12-30T15:34:00"/>
        <d v="1899-12-30T19:33:00"/>
        <d v="1899-12-30T10:09:00"/>
        <d v="1899-12-30T06:19:00"/>
        <d v="1899-12-30T12:01:00"/>
        <d v="1899-12-30T05:32:00"/>
        <d v="1899-12-30T10:31:00"/>
        <d v="1899-12-30T23:13:00"/>
        <d v="1899-12-30T18:00:00"/>
        <d v="1899-12-30T20:26:00"/>
        <d v="1899-12-30T23:07:00"/>
        <d v="1899-12-30T11:54:00"/>
        <d v="1899-12-30T10:56:00"/>
        <d v="1899-12-30T15:31:00"/>
        <d v="1899-12-30T08:27:00"/>
        <d v="1899-12-30T12:26:00"/>
        <d v="1899-12-30T22:49:00"/>
        <d v="1899-12-30T13:57:00"/>
        <d v="1899-12-30T14:44:00"/>
        <d v="1899-12-30T20:36:00"/>
        <d v="1899-12-30T16:15:00"/>
        <d v="1899-12-30T22:55:00"/>
        <d v="1899-12-30T13:56:00"/>
        <d v="1899-12-30T15:49:00"/>
        <d v="1899-12-30T09:39:00"/>
        <d v="1899-12-30T11:29:00"/>
        <d v="1899-12-30T05:12:00"/>
        <d v="1899-12-30T18:33:00"/>
        <d v="1899-12-30T23:36:00"/>
        <d v="1899-12-30T17:41:00"/>
        <d v="1899-12-30T21:34:00"/>
        <d v="1899-12-30T19:24:00"/>
        <d v="1899-12-30T13:12:00"/>
        <d v="1899-12-30T21:32:00"/>
        <d v="1899-12-30T18:38:00"/>
        <d v="1899-12-30T23:50:00"/>
        <d v="1899-12-30T17:58:00"/>
        <d v="1899-12-30T11:08:00"/>
        <d v="1899-12-30T13:20:00"/>
        <d v="1899-12-30T16:57:00"/>
        <d v="1899-12-30T12:00:00"/>
        <d v="1899-12-30T20:28:00"/>
        <d v="1899-12-30T02:22:00"/>
        <d v="1899-12-30T13:37:00"/>
        <d v="1899-12-30T14:21:00"/>
        <d v="1899-12-30T10:22:00"/>
        <d v="1899-12-30T10:10:00"/>
        <d v="1899-12-30T21:17:00"/>
        <d v="1899-12-30T14:19:00"/>
        <d v="1899-12-30T19:39:00"/>
        <d v="1899-12-30T17:11:00"/>
        <d v="1899-12-30T14:30:00"/>
        <d v="1899-12-30T01:48:00"/>
        <d v="1899-12-30T05:25:00"/>
        <d v="1899-12-30T05:40:00"/>
        <d v="1899-12-30T05:04:00"/>
        <d v="1899-12-30T02:05:00"/>
        <d v="1899-12-30T21:10:00"/>
        <d v="1899-12-30T06:55:00"/>
        <d v="1899-12-30T07:51:00"/>
        <d v="1899-12-30T21:58:00"/>
        <d v="1899-12-30T16:12:00"/>
        <d v="1899-12-30T09:42:00"/>
        <d v="1899-12-30T18:18:00"/>
        <d v="1899-12-30T02:55:00"/>
        <d v="1899-12-30T22:48:00"/>
        <d v="1899-12-30T13:05:00"/>
        <d v="1899-12-30T20:03:00"/>
        <d v="1899-12-30T23:21:00"/>
        <d v="1899-12-30T20:01:00"/>
        <d v="1899-12-30T04:44:00"/>
        <d v="1899-12-30T20:13:00"/>
        <d v="1899-12-30T23:26:00"/>
        <d v="1899-12-30T04:50:00"/>
        <d v="1899-12-30T22:41:00"/>
        <d v="1899-12-30T07:31:00"/>
        <d v="1899-12-30T16:07:00"/>
        <d v="1899-12-30T16:37:00"/>
        <d v="1899-12-30T07:43:00"/>
        <d v="1899-12-30T21:18:00"/>
        <d v="1899-12-30T01:43:00"/>
        <d v="1899-12-30T19:30:00"/>
        <d v="1899-12-30T11:48:00"/>
        <d v="1899-12-30T10:16:00"/>
        <d v="1899-12-30T02:36:00"/>
        <d v="1899-12-30T11:28:00"/>
        <d v="1899-12-30T03:19:00"/>
        <d v="1899-12-30T11:39:00"/>
        <d v="1899-12-30T12:17:00"/>
        <d v="1899-12-30T20:11:00"/>
        <d v="1899-12-30T13:27:00"/>
        <d v="1899-12-30T07:44:00"/>
        <d v="1899-12-30T23:08:00"/>
        <d v="1899-12-30T18:09:00"/>
        <d v="1899-12-30T23:44:00"/>
        <d v="1899-12-30T17:52:00"/>
        <d v="1899-12-30T12:10:00"/>
        <d v="1899-12-30T18:27:00"/>
        <d v="1899-12-30T09:12:00"/>
        <d v="1899-12-30T22:39:00"/>
        <d v="1899-12-30T10:30:00"/>
        <d v="1899-12-30T10:52:00"/>
        <d v="1899-12-30T10:37:00"/>
        <d v="1899-12-30T21:43:00"/>
        <d v="1899-12-30T16:01:00"/>
        <d v="1899-12-30T12:49:00"/>
        <d v="1899-12-30T17:13:00"/>
        <d v="1899-12-30T04:37:00"/>
        <d v="1899-12-30T15:44:00"/>
        <d v="1899-12-30T20:33:00"/>
        <d v="1899-12-30T19:46:00"/>
        <d v="1899-12-30T22:07:00"/>
        <d v="1899-12-30T15:22:00"/>
        <d v="1899-12-30T23:23:00"/>
        <d v="1899-12-30T20:47:00"/>
        <d v="1899-12-30T03:40:00"/>
        <d v="1899-12-30T09:11:00"/>
        <d v="1899-12-30T19:01:00"/>
        <d v="1899-12-30T15:11:00"/>
        <d v="1899-12-30T19:50:00"/>
        <d v="1899-12-30T04:05:00"/>
        <d v="1899-12-30T11:16:00"/>
        <d v="1899-12-30T23:16:00"/>
        <d v="1899-12-30T23:31:00"/>
        <d v="1899-12-30T23:35:00"/>
        <d v="1899-12-30T01:32:00"/>
        <d v="1899-12-30T23:01:00"/>
        <d v="1899-12-30T14:06:00"/>
        <d v="1899-12-30T21:47:00"/>
        <d v="1899-12-30T19:09:00"/>
        <d v="1899-12-30T09:55:00"/>
        <d v="1899-12-30T21:37:00"/>
        <d v="1899-12-30T01:56:00"/>
        <d v="1899-12-30T13:24:00"/>
        <d v="1899-12-30T23:12:00"/>
        <d v="1899-12-30T08:45:00"/>
        <d v="1899-12-30T04:12:00"/>
        <d v="1899-12-30T17:49:00"/>
        <d v="1899-12-30T18:31:00"/>
        <d v="1899-12-30T09:54:00"/>
        <d v="1899-12-30T08:52:00"/>
        <d v="1899-12-30T20:38:00"/>
        <d v="1899-12-30T16:56:00"/>
        <d v="1899-12-30T02:02:00"/>
        <d v="1899-12-30T19:41:00"/>
        <d v="1899-12-30T16:41:00"/>
        <d v="1899-12-30T22:09:00"/>
        <d v="1899-12-30T05:02:00"/>
        <d v="1899-12-30T00:26:00"/>
        <d v="1899-12-30T15:32:00"/>
        <d v="1899-12-30T03:37:00"/>
        <d v="1899-12-30T09:17:00"/>
        <d v="1899-12-30T05:09:00"/>
        <d v="1899-12-30T08:00:00"/>
        <d v="1899-12-30T06:16:00"/>
        <d v="1899-12-30T15:41:00"/>
        <d v="1899-12-30T17:40:00"/>
        <d v="1899-12-30T18:52:00"/>
        <d v="1899-12-30T19:32:00"/>
        <d v="1899-12-30T19:11:00"/>
        <d v="1899-12-30T10:21:00"/>
        <d v="1899-12-30T12:03:00"/>
        <d v="1899-12-30T21:52:00"/>
        <d v="1899-12-30T04:43:00"/>
        <d v="1899-12-30T14:39:00"/>
        <d v="1899-12-30T16:26:00"/>
        <d v="1899-12-30T20:23:00"/>
        <d v="1899-12-30T20:55:00"/>
        <d v="1899-12-30T16:39:00"/>
        <d v="1899-12-30T16:24:00"/>
        <d v="1899-12-30T10:47:00"/>
        <d v="1899-12-30T16:46:00"/>
        <d v="1899-12-30T07:08:00"/>
        <d v="1899-12-30T09:38:00"/>
        <d v="1899-12-30T19:22:00"/>
        <d v="1899-12-30T13:28:00"/>
        <d v="1899-12-30T22:47:00"/>
        <d v="1899-12-30T16:58:00"/>
        <d v="1899-12-30T01:55:00"/>
        <d v="1899-12-30T14:01:00"/>
        <d v="1899-12-30T21:21:00"/>
        <d v="1899-12-30T18:01:00"/>
        <d v="1899-12-30T19:37:00"/>
        <d v="1899-12-30T21:22:00"/>
        <d v="1899-12-30T15:37:00"/>
        <d v="1899-12-30T23:51:00"/>
        <d v="1899-12-30T09:22:00"/>
        <d v="1899-12-30T15:25:00"/>
        <d v="1899-12-30T20:37:00"/>
        <d v="1899-12-30T10:01:00"/>
        <d v="1899-12-30T21:38:00"/>
        <d v="1899-12-30T19:44:00"/>
        <d v="1899-12-30T06:36:00"/>
        <d v="1899-12-30T21:05:00"/>
        <d v="1899-12-30T23:54:00"/>
        <d v="1899-12-30T22:14:00"/>
        <d v="1899-12-30T23:20:00"/>
        <d v="1899-12-30T08:59:00"/>
        <d v="1899-12-30T16:09:00"/>
        <d v="1899-12-30T23:06:00"/>
        <d v="1899-12-30T16:55:00"/>
        <d v="1899-12-30T17:14:00"/>
        <d v="1899-12-30T18:13:00"/>
        <d v="1899-12-30T19:48:00"/>
        <d v="1899-12-30T22:12:00"/>
        <d v="1899-12-30T20:30:00"/>
        <d v="1899-12-30T11:15:00"/>
        <d v="1899-12-30T18:48:00"/>
        <d v="1899-12-30T10:32:00"/>
        <d v="1899-12-30T18:08:00"/>
        <d v="1899-12-30T23:39:00"/>
        <d v="1899-12-30T20:34:00"/>
        <d v="1899-12-30T22:35:00"/>
        <d v="1899-12-30T13:06:00"/>
        <d v="1899-12-30T18:05:00"/>
        <d v="1899-12-30T16:53:00"/>
        <d v="1899-12-30T13:30:00"/>
        <d v="1899-12-30T18:34:00"/>
        <d v="1899-12-30T04:28:00"/>
        <d v="1899-12-30T06:28:00"/>
        <d v="1899-12-30T22:26:00"/>
        <d v="1899-12-30T15:59:00"/>
        <d v="1899-12-30T16:00:00"/>
        <d v="1899-12-30T17:29:00"/>
        <d v="1899-12-30T23:25:00"/>
        <d v="1899-12-30T23:32:00"/>
        <d v="1899-12-30T16:54:00"/>
        <d v="1899-12-30T15:21:00"/>
        <d v="1899-12-30T17:55:00"/>
        <d v="1899-12-30T00:54:00"/>
        <d v="1899-12-30T05:46:00"/>
        <d v="1899-12-30T16:20:00"/>
        <d v="1899-12-30T12:43:00"/>
        <d v="1899-12-30T22:21:00"/>
        <d v="1899-12-30T18:14:00"/>
        <d v="1899-12-30T03:49:00"/>
        <d v="1899-12-30T20:35:00"/>
        <d v="1899-12-30T14:23:00"/>
        <d v="1899-12-30T17:07:00"/>
        <d v="1899-12-30T00:18:00"/>
        <d v="1899-12-30T15:10:00"/>
        <d v="1899-12-30T09:30:00"/>
        <d v="1899-12-30T04:34:00"/>
        <d v="1899-12-30T23:27:00"/>
        <d v="1899-12-30T13:38:00"/>
        <d v="1899-12-30T21:57:00"/>
        <d v="1899-12-30T08:15:00"/>
        <d v="1899-12-30T00:37:00"/>
        <d v="1899-12-30T13:32:00"/>
        <d v="1899-12-30T04:25:00"/>
        <d v="1899-12-30T14:49:00"/>
        <d v="1899-12-30T08:43:00"/>
        <d v="1899-12-30T06:01:00"/>
        <d v="1899-12-30T21:23:00"/>
        <d v="1899-12-30T11:52:00"/>
        <d v="1899-12-30T12:14:00"/>
        <d v="1899-12-30T17:03:00"/>
        <d v="1899-12-30T03:45:00"/>
        <d v="1899-12-30T05:50:00"/>
        <d v="1899-12-30T17:54:00"/>
        <d v="1899-12-30T15:54:00"/>
        <d v="1899-12-30T14:22:00"/>
        <d v="1899-12-30T07:26:00"/>
        <d v="1899-12-30T19:14:00"/>
        <d v="1899-12-30T20:07:00"/>
        <d v="1899-12-30T23:43:00"/>
        <d v="1899-12-30T09:35:00"/>
        <d v="1899-12-30T10:46:00"/>
        <d v="1899-12-30T12:54:00"/>
        <d v="1899-12-30T12:13:00"/>
        <d v="1899-12-30T09:58:00"/>
        <d v="1899-12-30T16:34:00"/>
        <d v="1899-12-30T13:44:00"/>
        <d v="1899-12-30T17:31:00"/>
        <d v="1899-12-30T07:25:00"/>
        <d v="1899-12-30T20:25:00"/>
        <d v="1899-12-30T08:56:00"/>
        <d v="1899-12-30T14:26:00"/>
        <d v="1899-12-30T20:02:00"/>
        <d v="1899-12-30T11:12:00"/>
        <d v="1899-12-30T14:43:00"/>
        <d v="1899-12-30T20:08:00"/>
        <d v="1899-12-30T11:32:00"/>
        <d v="1899-12-30T04:16:00"/>
        <d v="1899-12-30T02:47:00"/>
        <d v="1899-12-30T04:20:00"/>
        <d v="1899-12-30T15:40:00"/>
        <d v="1899-12-30T03:46:00"/>
        <d v="1899-12-30T22:00:00"/>
        <d v="1899-12-30T17:25:00"/>
        <d v="1899-12-30T20:44:00"/>
        <d v="1899-12-30T13:02:00"/>
        <d v="1899-12-30T21:50:00"/>
        <d v="1899-12-30T10:36:00"/>
        <d v="1899-12-30T10:26:00"/>
        <d v="1899-12-30T13:17:00"/>
        <d v="1899-12-30T10:49:00"/>
        <d v="1899-12-30T10:40:00"/>
        <d v="1899-12-30T17:26:00"/>
        <d v="1899-12-30T17:51:00"/>
        <d v="1899-12-30T21:46:00"/>
        <d v="1899-12-30T18:03:00"/>
        <d v="1899-12-30T09:19:00"/>
        <d v="1899-12-30T19:00:00"/>
        <d v="1899-12-30T08:20:00"/>
        <d v="1899-12-30T20:58:00"/>
        <d v="1899-12-30T18:44:00"/>
        <d v="1899-12-30T10:41:00"/>
        <d v="1899-12-30T17:59:00"/>
        <d v="1899-12-30T21:26:00"/>
        <d v="1899-12-30T18:50:00"/>
        <d v="1899-12-30T22:32:00"/>
        <d v="1899-12-30T12:06:00"/>
        <d v="1899-12-30T23:03:00"/>
        <d v="1899-12-30T21:13:00"/>
        <d v="1899-12-30T09:26:00"/>
        <d v="1899-12-30T15:53:00"/>
        <d v="1899-12-30T09:49:00"/>
        <d v="1899-12-30T03:16:00"/>
        <d v="1899-12-30T20:53:00"/>
        <d v="1899-12-30T20:27:00"/>
        <d v="1899-12-30T19:21:00"/>
        <d v="1899-12-30T16:30:00"/>
        <d v="1899-12-30T06:25:00"/>
        <d v="1899-12-30T17:10:00"/>
        <d v="1899-12-30T23:59:00"/>
        <d v="1899-12-30T22:45:00"/>
        <d v="1899-12-30T12:20:00"/>
        <d v="1899-12-30T14:10:00"/>
        <d v="1899-12-30T22:40:00"/>
        <d v="1899-12-30T09:28:00"/>
        <d v="1899-12-30T21:40:00"/>
        <d v="1899-12-30T13:47:00"/>
        <d v="1899-12-30T17:50:00"/>
        <d v="1899-12-30T22:04:00"/>
        <d v="1899-12-30T19:12:00"/>
        <d v="1899-12-30T01:46:00"/>
        <d v="1899-12-30T13:46:00"/>
        <d v="1899-12-30T18:15:00"/>
        <d v="1899-12-30T11:03:00"/>
        <d v="1899-12-30T15:30:00"/>
        <d v="1899-12-30T11:02:00"/>
        <d v="1899-12-30T13:03:00"/>
        <d v="1899-12-30T16:43:00"/>
        <d v="1899-12-30T13:52:00"/>
        <d v="1899-12-30T11:30:00"/>
        <d v="1899-12-30T07:21:00"/>
        <d v="1899-12-30T07:10:00"/>
        <d v="1899-12-30T18:40:00"/>
        <d v="1899-12-30T12:51:00"/>
        <d v="1899-12-30T15:50:00"/>
        <d v="1899-12-30T12:23:00"/>
        <d v="1899-12-30T07:45:00"/>
        <d v="1899-12-30T18:55:00"/>
        <d v="1899-12-30T08:12:00"/>
        <d v="1899-12-30T21:25:00"/>
        <d v="1899-12-30T20:59:00"/>
        <d v="1899-12-30T05:06:00"/>
        <d v="1899-12-30T11:33:00"/>
        <d v="1899-12-30T00:29:00"/>
        <d v="1899-12-30T22:19:00"/>
        <d v="1899-12-30T12:52:00"/>
        <d v="1899-12-30T22:15:00"/>
        <d v="1899-12-30T12:07:00"/>
        <d v="1899-12-30T00:28:00"/>
        <d v="1899-12-30T14:29:00"/>
        <d v="1899-12-30T19:02:00"/>
        <d v="1899-12-30T19:17:00"/>
        <d v="1899-12-30T19:19:00"/>
        <d v="1899-12-30T19:34:00"/>
        <d v="1899-12-30T16:22:00"/>
        <d v="1899-12-30T21:51:00"/>
        <d v="1899-12-30T18:21:00"/>
        <d v="1899-12-30T13:14:00"/>
        <d v="1899-12-30T03:43:00"/>
        <d v="1899-12-30T06:11:00"/>
        <d v="1899-12-30T10:08:00"/>
        <d v="1899-12-30T09:37:00"/>
        <d v="1899-12-30T03:17:00"/>
        <d v="1899-12-30T09:20:00"/>
        <d v="1899-12-30T19:31:00"/>
        <d v="1899-12-30T13:09:00"/>
        <d v="1899-12-30T19:36:00"/>
        <d v="1899-12-30T22:57:00"/>
        <d v="1899-12-30T22:38:00"/>
        <d v="1899-12-30T18:11:00"/>
        <d v="1899-12-30T16:06:00"/>
        <d v="1899-12-30T14:09:00"/>
        <d v="1899-12-30T07:47:00"/>
        <d v="1899-12-30T22:56:00"/>
        <d v="1899-12-30T21:42:00"/>
        <d v="1899-12-30T13:00:00"/>
        <d v="1899-12-30T21:35:00"/>
        <d v="1899-12-30T08:47:00"/>
        <d v="1899-12-30T17:15:00"/>
        <d v="1899-12-30T21:55:00"/>
        <d v="1899-12-30T21:01:00"/>
        <d v="1899-12-30T19:27:00"/>
        <d v="1899-12-30T00:47:00"/>
        <d v="1899-12-30T10:05:00"/>
        <d v="1899-12-30T20:32:00"/>
        <d v="1899-12-30T11:38:00"/>
        <d v="1899-12-30T16:16:00"/>
        <d v="1899-12-30T06:37:00"/>
        <d v="1899-12-30T12:21:00"/>
        <d v="1899-12-30T15:38:00"/>
        <d v="1899-12-30T16:29:00"/>
        <d v="1899-12-30T23:02:00"/>
        <d v="1899-12-30T10:43:00"/>
        <d v="1899-12-30T04:15:00"/>
        <d v="1899-12-30T15:17:00"/>
        <d v="1899-12-30T15:42:00"/>
        <d v="1899-12-30T10:45:00"/>
        <d v="1899-12-30T07:13:00"/>
        <d v="1899-12-30T13:43:00"/>
        <d v="1899-12-30T01:45:00"/>
        <d v="1899-12-30T14:35:00"/>
        <d v="1899-12-30T17:00:00"/>
        <d v="1899-12-30T22:11:00"/>
        <d v="1899-12-30T15:45:00"/>
        <d v="1899-12-30T14:05:00"/>
        <d v="1899-12-30T05:30:00"/>
        <d v="1899-12-30T17:28:00"/>
        <d v="1899-12-30T17:43:00"/>
        <d v="1899-12-30T17:46:00"/>
        <d v="1899-12-30T23:22:00"/>
        <d v="1899-12-30T00:36:00"/>
        <d v="1899-12-30T13:23:00"/>
        <d v="1899-12-30T21:15:00"/>
        <d v="1899-12-30T19:45:00"/>
        <d v="1899-12-30T15:52:00"/>
        <d v="1899-12-30T03:12:00"/>
        <d v="1899-12-30T22:06:00"/>
        <d v="1899-12-30T18:24:00"/>
        <d v="1899-12-30T03:28:00"/>
        <d v="1899-12-30T17:48:00"/>
        <d v="1899-12-30T05:56:00"/>
        <d v="1899-12-30T05:14:00"/>
        <d v="1899-12-30T18:53:00"/>
        <d v="1899-12-30T17:19:00"/>
        <d v="1899-12-30T19:49:00"/>
        <d v="1899-12-30T21:30:00"/>
        <d v="1899-12-30T03:35:00"/>
        <d v="1899-12-30T13:22:00"/>
        <d v="1899-12-30T18:30:00"/>
        <d v="1899-12-30T21:29:00"/>
        <d v="1899-12-30T04:32:00"/>
        <d v="1899-12-30T18:47:00"/>
        <d v="1899-12-30T04:33:00"/>
        <d v="1899-12-30T18:49:00"/>
        <d v="1899-12-30T17:30:00"/>
        <d v="1899-12-30T16:19:00"/>
        <d v="1899-12-30T00:51:00"/>
        <d v="1899-12-30T20:54:00"/>
        <d v="1899-12-30T20:40:00"/>
        <d v="1899-12-30T21:12:00"/>
        <d v="1899-12-30T22:08:00"/>
        <d v="1899-12-30T16:38:00"/>
        <d v="1899-12-30T14:32:00"/>
        <d v="1899-12-30T19:42:00"/>
        <d v="1899-12-30T16:49:00"/>
        <d v="1899-12-30T15:19:00"/>
        <d v="1899-12-30T09:51:00"/>
        <d v="1899-12-30T20:56:00"/>
        <d v="1899-12-30T23:14:00"/>
        <d v="1899-12-30T02:24:00"/>
        <d v="1899-12-30T10:25:00"/>
        <d v="1899-12-30T04:22:00"/>
        <d v="1899-12-30T01:06:00"/>
        <d v="1899-12-30T08:07:00"/>
        <d v="1899-12-30T10:13:00"/>
        <d v="1899-12-30T00:13:00"/>
        <d v="1899-12-30T09:41:00"/>
        <d v="1899-12-30T11:37:00"/>
        <d v="1899-12-30T16:50:00"/>
        <d v="1899-12-30T15:27:00"/>
        <d v="1899-12-30T22:36:00"/>
        <d v="1899-12-30T12:53:00"/>
        <d v="1899-12-30T10:20:00"/>
        <d v="1899-12-30T02:41:00"/>
        <d v="1899-12-30T22:30:00"/>
        <d v="1899-12-30T18:19:00"/>
        <d v="1899-12-30T17:38:00"/>
        <d v="1899-12-30T11:00:00"/>
        <d v="1899-12-30T19:57:00"/>
        <d v="1899-12-30T17:01:00"/>
        <d v="1899-12-30T20:57:00"/>
        <d v="1899-12-30T02:32:00"/>
        <d v="1899-12-30T00:12:00"/>
        <d v="1899-12-30T04:09:00"/>
        <d v="1899-12-30T02:34:00"/>
        <d v="1899-12-30T01:24:00"/>
        <d v="1899-12-30T09:03:00"/>
        <d v="1899-12-30T22:54:00"/>
        <d v="1899-12-30T22:13:00"/>
        <d v="1899-12-30T11:35:00"/>
        <d v="1899-12-30T10:19:00"/>
        <d v="1899-12-30T18:39:00"/>
        <d v="1899-12-30T20:10:00"/>
        <d v="1899-12-30T14:00:00"/>
        <d v="1899-12-30T09:32:00"/>
        <d v="1899-12-30T23:37:00"/>
        <d v="1899-12-30T22:01:00"/>
        <d v="1899-12-30T09:44:00"/>
        <d v="1899-12-30T02:29:00"/>
        <d v="1899-12-30T05:01:00"/>
        <d v="1899-12-30T03:03:00"/>
        <d v="1899-12-30T14:34:00"/>
        <d v="1899-12-30T01:19:00"/>
        <d v="1899-12-30T10:27:00"/>
        <d v="1899-12-30T02:16:00"/>
        <d v="1899-12-30T22:18:00"/>
        <d v="1899-12-30T02:35:00"/>
        <d v="1899-12-30T11:04:00"/>
        <d v="1899-12-30T13:45:00"/>
        <d v="1899-12-30T20:39:00"/>
        <d v="1899-12-30T12:32:00"/>
        <d v="1899-12-30T20:21:00"/>
        <d v="1899-12-30T15:51:00"/>
        <d v="1899-12-30T10:35:00"/>
        <d v="1899-12-30T20:04:00"/>
        <d v="1899-12-30T18:16:00"/>
        <d v="1899-12-30T21:44:00"/>
        <d v="1899-12-30T12:15:00"/>
        <d v="1899-12-30T09:34:00"/>
        <d v="1899-12-30T23:46:00"/>
        <d v="1899-12-30T06:41:00"/>
        <d v="1899-12-30T15:56:00"/>
        <d v="1899-12-30T09:16:00"/>
        <d v="1899-12-30T12:28:00"/>
        <d v="1899-12-30T14:54:00"/>
        <d v="1899-12-30T23:19:00"/>
        <d v="1899-12-30T11:42:00"/>
        <d v="1899-12-30T11:13:00"/>
        <d v="1899-12-30T18:42:00"/>
        <d v="1899-12-30T20:50:00"/>
        <d v="1899-12-30T20:24:00"/>
        <d v="1899-12-30T00:02:00"/>
        <d v="1899-12-30T15:00:00"/>
        <d v="1899-12-30T00:20:00"/>
        <d v="1899-12-30T05:53:00"/>
        <d v="1899-12-30T02:49:00"/>
        <d v="1899-12-30T17:44:00"/>
        <d v="1899-12-30T21:33:00"/>
        <d v="1899-12-30T09:02:00"/>
        <d v="1899-12-30T19:29:00"/>
        <d v="1899-12-30T20:42:00"/>
        <d v="1899-12-30T23:38:00"/>
        <d v="1899-12-30T21:59:00"/>
        <d v="1899-12-30T10:04:00"/>
        <d v="1899-12-30T05:51:00"/>
        <d v="1899-12-30T20:43:00"/>
        <d v="1899-12-30T18:10:00"/>
        <d v="1899-12-30T13:54:00"/>
        <d v="1899-12-30T16:17:00"/>
        <d v="1899-12-30T16:10:00"/>
        <d v="1899-12-30T19:51:00"/>
        <d v="1899-12-30T19:10:00"/>
        <d v="1899-12-30T13:21:00"/>
        <d v="1899-12-30T14:20:00"/>
        <d v="1899-12-30T04:36:00"/>
        <d v="1899-12-30T18:51:00"/>
        <d v="1899-12-30T12:37:00"/>
        <d v="1899-12-30T08:17:00"/>
        <d v="1899-12-30T13:40:00"/>
        <d v="1899-12-30T21:28:00"/>
        <d v="1899-12-30T00:25:00"/>
        <d v="1899-12-30T22:58:00"/>
        <d v="1899-12-30T11:27:00"/>
        <d v="1899-12-30T19:26:00"/>
        <d v="1899-12-30T18:35:00"/>
        <d v="1899-12-30T11:46:00"/>
        <d v="1899-12-30T23:04:00"/>
        <d v="1899-12-30T12:41:00"/>
        <d v="1899-12-30T00:27:00"/>
        <d v="1899-12-30T21:14:00"/>
        <d v="1899-12-30T22:33:00"/>
        <d v="1899-12-30T23:42:00"/>
        <d v="1899-12-30T22:03:00"/>
        <d v="1899-12-30T11:53:00"/>
        <d v="1899-12-30T17:12:00"/>
        <d v="1899-12-30T09:00:00"/>
        <d v="1899-12-30T11:34:00"/>
        <d v="1899-12-30T05:34:00"/>
        <d v="1899-12-30T18:06:00"/>
        <d v="1899-12-30T14:28:00"/>
        <d v="1899-12-30T13:51:00"/>
        <d v="1899-12-30T15:47:00"/>
        <d v="1899-12-30T17:17:00"/>
        <d v="1899-12-30T22:02:00"/>
        <d v="1899-12-30T11:45:00"/>
        <d v="1899-12-30T07:37:00"/>
        <d v="1899-12-30T17:34:00"/>
        <d v="1899-12-30T23:48:00"/>
        <d v="1899-12-30T18:58:00"/>
        <d v="1899-12-30T07:09:00"/>
        <d v="1899-12-30T11:51:00"/>
        <d v="1899-12-30T04:04:00"/>
        <d v="1899-12-30T13:49:00"/>
        <d v="1899-12-30T21:09:00"/>
        <d v="1899-12-30T15:24:00"/>
        <d v="1899-12-30T13:10:00"/>
        <d v="1899-12-30T08:05:00"/>
        <d v="1899-12-30T14:38:00"/>
        <d v="1899-12-30T18:46:00"/>
        <d v="1899-12-30T11:57:00"/>
        <d v="1899-12-30T05:55:00"/>
        <d v="1899-12-30T09:57:00"/>
        <d v="1899-12-30T01:33:00"/>
        <d v="1899-12-30T21:11:00"/>
        <d v="1899-12-30T08:25:00"/>
        <d v="1899-12-30T12:11:00"/>
        <d v="1899-12-30T06:27:00"/>
        <d v="1899-12-30T20:15:00"/>
        <d v="1899-12-30T04:39:00"/>
        <d v="1899-12-30T01:23:00"/>
        <d v="1899-12-30T14:33:00"/>
        <d v="1899-12-30T21:04:00"/>
        <d v="1899-12-30T23:40:00"/>
        <d v="1899-12-30T13:25:00"/>
        <d v="1899-12-30T02:14:00"/>
        <d v="1899-12-30T18:23:00"/>
        <d v="1899-12-30T09:10:00"/>
        <d v="1899-12-30T09:53:00"/>
        <d v="1899-12-30T13:16:00"/>
        <d v="1899-12-30T12:08:00"/>
        <d v="1899-12-30T10:44:00"/>
        <d v="1899-12-30T03:22:00"/>
        <d v="1899-12-30T10:23:00"/>
        <d v="1899-12-30T16:32:00"/>
        <d v="1899-12-30T10:03:00"/>
        <m/>
      </sharedItems>
      <fieldGroup par="33" base="5">
        <rangePr groupBy="minutes" startDate="1899-12-30T00:02:00" endDate="1899-12-30T23:59:00"/>
        <groupItems count="62">
          <s v="(en blanco)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/1/1900"/>
        </groupItems>
      </fieldGroup>
    </cacheField>
    <cacheField name="Tipo de delito" numFmtId="0">
      <sharedItems containsBlank="1" count="13">
        <s v="Secuestro"/>
        <s v="Amenazas"/>
        <s v="Vandalismo"/>
        <s v="Homicidio"/>
        <s v="Hurto"/>
        <s v="Robo"/>
        <s v="Fraude"/>
        <s v="Violencia de género"/>
        <s v="Corrupción"/>
        <s v="Narcotráfico"/>
        <s v="Violación"/>
        <s v="Delitos financieros"/>
        <m/>
      </sharedItems>
    </cacheField>
    <cacheField name="Ubicación" numFmtId="0">
      <sharedItems containsBlank="1" count="13">
        <s v="Villa El Libertador"/>
        <s v="General Paz"/>
        <s v="IPV Argüello"/>
        <s v="Centro"/>
        <s v="Cerro de las Rosas"/>
        <s v="Argüello"/>
        <s v="Alta Córdoba"/>
        <s v="Pueyrredón"/>
        <s v="San Vicente"/>
        <s v="Alberdi"/>
        <s v="Nueva Córdoba"/>
        <s v="Jardín Espinosa"/>
        <m/>
      </sharedItems>
    </cacheField>
    <cacheField name="LATITUD &amp; LONGITUD" numFmtId="0">
      <sharedItems containsBlank="1"/>
    </cacheField>
    <cacheField name="Fecha Nac. Delincuente" numFmtId="0">
      <sharedItems containsNonDate="0" containsDate="1" containsString="0" containsBlank="1" minDate="1950-01-09T00:00:00" maxDate="2006-12-24T00:00:00"/>
    </cacheField>
    <cacheField name="EDAD DELINCUENTE" numFmtId="0">
      <sharedItems containsString="0" containsBlank="1" containsNumber="1" containsInteger="1" minValue="8" maxValue="74"/>
    </cacheField>
    <cacheField name="RANGO ETAREO DEL." numFmtId="0">
      <sharedItems containsBlank="1" count="8">
        <s v="46 - 55"/>
        <s v="18 - 25"/>
        <s v="&lt;=17"/>
        <s v="26 - 35"/>
        <s v="&gt;65"/>
        <s v="56 - 65"/>
        <s v="36 - 45"/>
        <m/>
      </sharedItems>
    </cacheField>
    <cacheField name="Género Delincuente" numFmtId="0">
      <sharedItems containsBlank="1" count="3">
        <s v="Femenino"/>
        <s v="Masculino"/>
        <m/>
      </sharedItems>
    </cacheField>
    <cacheField name="Ícono del." numFmtId="0">
      <sharedItems containsBlank="1"/>
    </cacheField>
    <cacheField name="Cantidad de Delincuentes" numFmtId="0">
      <sharedItems containsString="0" containsBlank="1" containsNumber="1" containsInteger="1" minValue="1" maxValue="5" count="6">
        <n v="4"/>
        <n v="1"/>
        <n v="3"/>
        <n v="2"/>
        <n v="5"/>
        <m/>
      </sharedItems>
    </cacheField>
    <cacheField name="Fecha Nac. Víctima" numFmtId="0">
      <sharedItems containsNonDate="0" containsDate="1" containsString="0" containsBlank="1" minDate="1940-01-02T00:00:00" maxDate="2015-11-25T00:00:00"/>
    </cacheField>
    <cacheField name="EDAD VICTIMA" numFmtId="0">
      <sharedItems containsString="0" containsBlank="1" containsNumber="1" containsInteger="1" minValue="0" maxValue="84"/>
    </cacheField>
    <cacheField name="RANGO ETAREO VIC." numFmtId="0">
      <sharedItems containsBlank="1" count="8">
        <s v="&gt;65"/>
        <s v="36 - 45"/>
        <s v="56 - 65"/>
        <s v="18 - 25"/>
        <s v="46 - 55"/>
        <s v="&lt;=17"/>
        <s v="26 - 35"/>
        <m/>
      </sharedItems>
    </cacheField>
    <cacheField name="Género Víctima" numFmtId="0">
      <sharedItems containsBlank="1" count="3">
        <s v="Masculino"/>
        <s v="Femenino"/>
        <m/>
      </sharedItems>
    </cacheField>
    <cacheField name="Ícono vic." numFmtId="0">
      <sharedItems containsBlank="1"/>
    </cacheField>
    <cacheField name="Cantidad de Víctimas" numFmtId="0">
      <sharedItems containsString="0" containsBlank="1" containsNumber="1" containsInteger="1" minValue="1" maxValue="3"/>
    </cacheField>
    <cacheField name="Hubo Arresto" numFmtId="0">
      <sharedItems containsBlank="1" count="3">
        <s v="Sí"/>
        <s v="No"/>
        <m/>
      </sharedItems>
    </cacheField>
    <cacheField name="Tipo de arma" numFmtId="0">
      <sharedItems containsBlank="1" count="6">
        <s v="No aplica"/>
        <s v="Arma blanca"/>
        <s v="Arma de fuego"/>
        <s v="Sin arma"/>
        <s v="Objeto contundente"/>
        <m/>
      </sharedItems>
    </cacheField>
    <cacheField name="Agravante" numFmtId="0">
      <sharedItems containsBlank="1"/>
    </cacheField>
    <cacheField name="Objeto Robado/Dañado" numFmtId="0">
      <sharedItems containsBlank="1"/>
    </cacheField>
    <cacheField name="Presencia de Drogas" numFmtId="0">
      <sharedItems containsBlank="1" count="3">
        <s v="Sí"/>
        <s v="No"/>
        <m/>
      </sharedItems>
    </cacheField>
    <cacheField name="Presencia de Alcohol" numFmtId="0">
      <sharedItems containsBlank="1" count="3">
        <s v="No"/>
        <s v="Sí"/>
        <m/>
      </sharedItems>
    </cacheField>
    <cacheField name="Estado del Caso" numFmtId="0">
      <sharedItems containsBlank="1"/>
    </cacheField>
    <cacheField name="Sentencia (meses)" numFmtId="0">
      <sharedItems containsBlank="1"/>
    </cacheField>
    <cacheField name="Trimestres" numFmtId="0" databaseField="0">
      <fieldGroup base="2">
        <rangePr groupBy="quarters" startDate="2015-01-02T00:00:00" endDate="2024-12-30T00:00:00"/>
        <groupItems count="6">
          <s v="&lt;2/1/2015"/>
          <s v="Trim.1"/>
          <s v="Trim.2"/>
          <s v="Trim.3"/>
          <s v="Trim.4"/>
          <s v="&gt;30/12/2024"/>
        </groupItems>
      </fieldGroup>
    </cacheField>
    <cacheField name="Años" numFmtId="0" databaseField="0">
      <fieldGroup base="2">
        <rangePr groupBy="years" startDate="2015-01-02T00:00:00" endDate="2024-12-30T00:00:00"/>
        <groupItems count="12">
          <s v="&lt;2/1/2015"/>
          <s v="2015"/>
          <s v="2016"/>
          <s v="2017"/>
          <s v="2018"/>
          <s v="2019"/>
          <s v="2020"/>
          <s v="2021"/>
          <s v="2022"/>
          <s v="2023"/>
          <s v="2024"/>
          <s v="&gt;30/12/2024"/>
        </groupItems>
      </fieldGroup>
    </cacheField>
    <cacheField name="Trimestres2" numFmtId="0" databaseField="0">
      <fieldGroup base="3">
        <rangePr groupBy="quarters" startDate="2015-01-02T00:00:00" endDate="2024-12-30T00:00:00"/>
        <groupItems count="6">
          <s v="&lt;2/1/2015"/>
          <s v="Trim.1"/>
          <s v="Trim.2"/>
          <s v="Trim.3"/>
          <s v="Trim.4"/>
          <s v="&gt;30/12/2024"/>
        </groupItems>
      </fieldGroup>
    </cacheField>
    <cacheField name="Años2" numFmtId="0" databaseField="0">
      <fieldGroup base="3">
        <rangePr groupBy="years" startDate="2015-01-02T00:00:00" endDate="2024-12-30T00:00:00"/>
        <groupItems count="12">
          <s v="&lt;2/1/2015"/>
          <s v="2015"/>
          <s v="2016"/>
          <s v="2017"/>
          <s v="2018"/>
          <s v="2019"/>
          <s v="2020"/>
          <s v="2021"/>
          <s v="2022"/>
          <s v="2023"/>
          <s v="2024"/>
          <s v="&gt;30/12/2024"/>
        </groupItems>
      </fieldGroup>
    </cacheField>
    <cacheField name="Horas" numFmtId="0" databaseField="0">
      <fieldGroup base="5">
        <rangePr groupBy="hours" startDate="1899-12-30T00:02:00" endDate="1899-12-30T23:59:00"/>
        <groupItems count="26">
          <s v="&lt;0/1/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/1/1900"/>
        </groupItems>
      </fieldGroup>
    </cacheField>
  </cacheFields>
  <extLst>
    <ext xmlns:x14="http://schemas.microsoft.com/office/spreadsheetml/2009/9/main" uri="{725AE2AE-9491-48be-B2B4-4EB974FC3084}">
      <x14:pivotCacheDefinition pivotCacheId="3855187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1"/>
    <x v="0"/>
    <x v="0"/>
    <x v="0"/>
    <x v="0"/>
    <x v="0"/>
    <x v="0"/>
    <x v="0"/>
    <s v="-31,4800162965848, -64,2094200976892"/>
    <d v="1973-05-12T00:00:00"/>
    <n v="50"/>
    <x v="0"/>
    <x v="0"/>
    <s v="🚺"/>
    <x v="0"/>
    <d v="1957-05-08T00:00:00"/>
    <n v="66"/>
    <x v="0"/>
    <x v="0"/>
    <s v="🚹"/>
    <n v="3"/>
    <x v="0"/>
    <x v="0"/>
    <s v="No aplica"/>
    <s v="No aplica"/>
    <x v="0"/>
    <x v="0"/>
    <s v="Cerrado"/>
    <s v="94"/>
  </r>
  <r>
    <n v="2"/>
    <x v="1"/>
    <x v="1"/>
    <x v="1"/>
    <x v="1"/>
    <x v="1"/>
    <x v="1"/>
    <x v="1"/>
    <s v="-31,4129883640337, -64,1681120522587"/>
    <d v="1962-12-22T00:00:00"/>
    <n v="54"/>
    <x v="0"/>
    <x v="1"/>
    <s v="🚹"/>
    <x v="0"/>
    <d v="1973-09-09T00:00:00"/>
    <n v="43"/>
    <x v="1"/>
    <x v="0"/>
    <s v="🚹"/>
    <n v="3"/>
    <x v="0"/>
    <x v="0"/>
    <s v="Sin agravantes"/>
    <s v="No aplica"/>
    <x v="0"/>
    <x v="1"/>
    <s v="Abierto"/>
    <s v="122"/>
  </r>
  <r>
    <n v="72"/>
    <x v="2"/>
    <x v="2"/>
    <x v="2"/>
    <x v="0"/>
    <x v="2"/>
    <x v="2"/>
    <x v="2"/>
    <s v="-31,334500143441, -64,2460773260564"/>
    <d v="1990-09-24T00:00:00"/>
    <n v="24"/>
    <x v="1"/>
    <x v="1"/>
    <s v="🚹"/>
    <x v="1"/>
    <d v="1957-02-09T00:00:00"/>
    <n v="57"/>
    <x v="2"/>
    <x v="0"/>
    <s v="🚹"/>
    <n v="1"/>
    <x v="1"/>
    <x v="1"/>
    <s v="No aplica"/>
    <s v="Celular, tarjetas bancarias"/>
    <x v="1"/>
    <x v="0"/>
    <s v="Cerrado"/>
    <s v="No aplica"/>
  </r>
  <r>
    <n v="3"/>
    <x v="3"/>
    <x v="3"/>
    <x v="3"/>
    <x v="2"/>
    <x v="3"/>
    <x v="3"/>
    <x v="3"/>
    <s v="-31,4148488101991, -64,1793406489438"/>
    <d v="2000-03-02T00:00:00"/>
    <n v="22"/>
    <x v="1"/>
    <x v="1"/>
    <s v="🚹"/>
    <x v="0"/>
    <d v="1997-09-16T00:00:00"/>
    <n v="25"/>
    <x v="3"/>
    <x v="1"/>
    <s v="🚺"/>
    <n v="3"/>
    <x v="0"/>
    <x v="0"/>
    <s v="No aplica"/>
    <s v="Cartera con documentación"/>
    <x v="0"/>
    <x v="0"/>
    <s v="En investigación"/>
    <s v="295"/>
  </r>
  <r>
    <n v="656"/>
    <x v="4"/>
    <x v="4"/>
    <x v="4"/>
    <x v="3"/>
    <x v="4"/>
    <x v="3"/>
    <x v="4"/>
    <s v="-31,3759272890294, -64,2284587792478"/>
    <d v="1966-11-14T00:00:00"/>
    <n v="48"/>
    <x v="0"/>
    <x v="1"/>
    <s v="🚹"/>
    <x v="2"/>
    <d v="1957-07-13T00:00:00"/>
    <n v="57"/>
    <x v="2"/>
    <x v="1"/>
    <s v="🚺"/>
    <n v="2"/>
    <x v="1"/>
    <x v="2"/>
    <s v="No aplica"/>
    <s v="Celular, tarjetas bancarias"/>
    <x v="1"/>
    <x v="0"/>
    <s v="Cerrado"/>
    <s v="No aplica"/>
  </r>
  <r>
    <n v="779"/>
    <x v="4"/>
    <x v="4"/>
    <x v="4"/>
    <x v="3"/>
    <x v="5"/>
    <x v="4"/>
    <x v="5"/>
    <s v="-31,3477902896523, -64,2644406169297"/>
    <d v="2006-09-16T00:00:00"/>
    <n v="8"/>
    <x v="2"/>
    <x v="1"/>
    <s v="🚹"/>
    <x v="1"/>
    <d v="1991-11-28T00:00:00"/>
    <n v="23"/>
    <x v="3"/>
    <x v="0"/>
    <s v="🚹"/>
    <n v="2"/>
    <x v="1"/>
    <x v="0"/>
    <s v="No aplica"/>
    <s v="Contrato fraudulento"/>
    <x v="1"/>
    <x v="1"/>
    <s v="En investigación"/>
    <s v="No aplica"/>
  </r>
  <r>
    <n v="61"/>
    <x v="5"/>
    <x v="5"/>
    <x v="5"/>
    <x v="4"/>
    <x v="6"/>
    <x v="3"/>
    <x v="5"/>
    <s v="-31,3477902896523, -64,2644406169297"/>
    <d v="1982-02-18T00:00:00"/>
    <n v="32"/>
    <x v="3"/>
    <x v="1"/>
    <s v="🚹"/>
    <x v="1"/>
    <d v="1989-12-19T00:00:00"/>
    <n v="25"/>
    <x v="3"/>
    <x v="1"/>
    <s v="🚺"/>
    <n v="1"/>
    <x v="1"/>
    <x v="0"/>
    <s v="No aplica"/>
    <s v="Grafitis en edificios públicos"/>
    <x v="1"/>
    <x v="1"/>
    <s v="Abierto"/>
    <s v="No aplica"/>
  </r>
  <r>
    <n v="4"/>
    <x v="6"/>
    <x v="6"/>
    <x v="6"/>
    <x v="1"/>
    <x v="7"/>
    <x v="5"/>
    <x v="1"/>
    <s v="-31,4129883640337, -64,1681120522587"/>
    <d v="1993-02-20T00:00:00"/>
    <n v="30"/>
    <x v="3"/>
    <x v="1"/>
    <s v="🚹"/>
    <x v="0"/>
    <d v="1973-08-27T00:00:00"/>
    <n v="50"/>
    <x v="4"/>
    <x v="0"/>
    <s v="🚹"/>
    <n v="1"/>
    <x v="0"/>
    <x v="2"/>
    <s v="Sin agravantes"/>
    <s v="No aplica"/>
    <x v="0"/>
    <x v="0"/>
    <s v="Abierto"/>
    <s v="88"/>
  </r>
  <r>
    <n v="419"/>
    <x v="7"/>
    <x v="7"/>
    <x v="7"/>
    <x v="0"/>
    <x v="8"/>
    <x v="1"/>
    <x v="5"/>
    <s v="-31,3477902896523, -64,2644406169297"/>
    <d v="1963-06-25T00:00:00"/>
    <n v="51"/>
    <x v="0"/>
    <x v="0"/>
    <s v="🚺"/>
    <x v="3"/>
    <d v="1999-01-27T00:00:00"/>
    <n v="15"/>
    <x v="5"/>
    <x v="0"/>
    <s v="🚹"/>
    <n v="1"/>
    <x v="1"/>
    <x v="0"/>
    <s v="No aplica"/>
    <s v="Contrato fraudulento"/>
    <x v="0"/>
    <x v="0"/>
    <s v="Abierto"/>
    <s v="No aplica"/>
  </r>
  <r>
    <n v="7"/>
    <x v="8"/>
    <x v="8"/>
    <x v="8"/>
    <x v="5"/>
    <x v="9"/>
    <x v="6"/>
    <x v="3"/>
    <s v="-31,4148488101991, -64,1793406489438"/>
    <d v="1951-10-28T00:00:00"/>
    <n v="67"/>
    <x v="4"/>
    <x v="0"/>
    <s v="🚺"/>
    <x v="2"/>
    <d v="1991-12-02T00:00:00"/>
    <n v="27"/>
    <x v="6"/>
    <x v="1"/>
    <s v="🚺"/>
    <n v="1"/>
    <x v="0"/>
    <x v="0"/>
    <s v="No aplica"/>
    <s v="Estafa bancaria"/>
    <x v="1"/>
    <x v="1"/>
    <s v="Cerrado"/>
    <s v="156"/>
  </r>
  <r>
    <n v="9"/>
    <x v="9"/>
    <x v="9"/>
    <x v="9"/>
    <x v="2"/>
    <x v="10"/>
    <x v="4"/>
    <x v="0"/>
    <s v="-31,4800162965848, -64,2094200976892"/>
    <d v="1959-10-06T00:00:00"/>
    <n v="63"/>
    <x v="5"/>
    <x v="0"/>
    <s v="🚺"/>
    <x v="2"/>
    <d v="1955-03-17T00:00:00"/>
    <n v="68"/>
    <x v="0"/>
    <x v="1"/>
    <s v="🚺"/>
    <n v="3"/>
    <x v="0"/>
    <x v="0"/>
    <s v="No aplica"/>
    <s v="Estafa bancaria"/>
    <x v="1"/>
    <x v="0"/>
    <s v="Cerrado"/>
    <s v="188"/>
  </r>
  <r>
    <n v="355"/>
    <x v="10"/>
    <x v="10"/>
    <x v="10"/>
    <x v="5"/>
    <x v="11"/>
    <x v="7"/>
    <x v="6"/>
    <s v="-31,3909520937826, -64,1836424491715"/>
    <d v="1953-07-27T00:00:00"/>
    <n v="61"/>
    <x v="5"/>
    <x v="0"/>
    <s v="🚺"/>
    <x v="4"/>
    <d v="1951-08-02T00:00:00"/>
    <n v="63"/>
    <x v="2"/>
    <x v="1"/>
    <s v="🚺"/>
    <n v="2"/>
    <x v="1"/>
    <x v="0"/>
    <s v="No aplica"/>
    <s v="Bicicleta"/>
    <x v="1"/>
    <x v="0"/>
    <s v="Cerrado"/>
    <s v="No aplica"/>
  </r>
  <r>
    <n v="754"/>
    <x v="11"/>
    <x v="11"/>
    <x v="11"/>
    <x v="6"/>
    <x v="12"/>
    <x v="2"/>
    <x v="0"/>
    <s v="-31,4800162965848, -64,2094200976892"/>
    <d v="1989-01-27T00:00:00"/>
    <n v="26"/>
    <x v="3"/>
    <x v="0"/>
    <s v="🚺"/>
    <x v="1"/>
    <d v="1970-09-13T00:00:00"/>
    <n v="44"/>
    <x v="1"/>
    <x v="0"/>
    <s v="🚹"/>
    <n v="3"/>
    <x v="1"/>
    <x v="0"/>
    <s v="No aplica"/>
    <s v="Vidrios de comercio rotos"/>
    <x v="1"/>
    <x v="0"/>
    <s v="Abierto"/>
    <s v="No aplica"/>
  </r>
  <r>
    <n v="12"/>
    <x v="12"/>
    <x v="12"/>
    <x v="12"/>
    <x v="5"/>
    <x v="13"/>
    <x v="8"/>
    <x v="7"/>
    <s v="-31,4015892433235, -64,160442876477"/>
    <d v="1984-11-03T00:00:00"/>
    <n v="32"/>
    <x v="3"/>
    <x v="1"/>
    <s v="🚹"/>
    <x v="4"/>
    <d v="1960-05-11T00:00:00"/>
    <n v="57"/>
    <x v="2"/>
    <x v="1"/>
    <s v="🚺"/>
    <n v="1"/>
    <x v="0"/>
    <x v="0"/>
    <s v="No aplica"/>
    <s v="Evasión fiscal"/>
    <x v="1"/>
    <x v="0"/>
    <s v="Abierto"/>
    <s v="10"/>
  </r>
  <r>
    <n v="13"/>
    <x v="13"/>
    <x v="13"/>
    <x v="13"/>
    <x v="0"/>
    <x v="14"/>
    <x v="0"/>
    <x v="8"/>
    <s v="-31,423018915313, -64,1493562190664"/>
    <d v="1967-04-23T00:00:00"/>
    <n v="52"/>
    <x v="0"/>
    <x v="1"/>
    <s v="🚹"/>
    <x v="4"/>
    <d v="1941-09-03T00:00:00"/>
    <n v="78"/>
    <x v="0"/>
    <x v="0"/>
    <s v="🚹"/>
    <n v="3"/>
    <x v="0"/>
    <x v="0"/>
    <s v="No aplica"/>
    <s v="Vidrios de comercio rotos"/>
    <x v="1"/>
    <x v="0"/>
    <s v="Abierto"/>
    <s v="211"/>
  </r>
  <r>
    <n v="14"/>
    <x v="14"/>
    <x v="14"/>
    <x v="14"/>
    <x v="4"/>
    <x v="15"/>
    <x v="9"/>
    <x v="9"/>
    <s v="-31,4076397196409, -64,2020170430678"/>
    <d v="1950-11-27T00:00:00"/>
    <n v="70"/>
    <x v="4"/>
    <x v="0"/>
    <s v="🚺"/>
    <x v="3"/>
    <d v="1990-08-28T00:00:00"/>
    <n v="30"/>
    <x v="6"/>
    <x v="0"/>
    <s v="🚹"/>
    <n v="3"/>
    <x v="0"/>
    <x v="0"/>
    <s v="Por vínculo"/>
    <s v="No aplica"/>
    <x v="1"/>
    <x v="0"/>
    <s v="Cerrado"/>
    <s v="190"/>
  </r>
  <r>
    <n v="609"/>
    <x v="15"/>
    <x v="15"/>
    <x v="15"/>
    <x v="5"/>
    <x v="16"/>
    <x v="5"/>
    <x v="10"/>
    <s v="-31,4285567311661, -64,1853198281007"/>
    <d v="1967-10-08T00:00:00"/>
    <n v="47"/>
    <x v="0"/>
    <x v="0"/>
    <s v="🚺"/>
    <x v="1"/>
    <d v="1957-08-08T00:00:00"/>
    <n v="57"/>
    <x v="2"/>
    <x v="1"/>
    <s v="🚺"/>
    <n v="1"/>
    <x v="1"/>
    <x v="1"/>
    <s v="No aplica"/>
    <s v="Celular, tarjetas bancarias"/>
    <x v="0"/>
    <x v="1"/>
    <s v="Cerrado"/>
    <s v="No aplica"/>
  </r>
  <r>
    <n v="825"/>
    <x v="15"/>
    <x v="15"/>
    <x v="15"/>
    <x v="5"/>
    <x v="17"/>
    <x v="4"/>
    <x v="1"/>
    <s v="-31,4129883640337, -64,1681120522587"/>
    <d v="1987-07-23T00:00:00"/>
    <n v="27"/>
    <x v="3"/>
    <x v="1"/>
    <s v="🚹"/>
    <x v="2"/>
    <d v="2004-07-18T00:00:00"/>
    <n v="10"/>
    <x v="5"/>
    <x v="0"/>
    <s v="🚹"/>
    <n v="1"/>
    <x v="1"/>
    <x v="0"/>
    <s v="No aplica"/>
    <s v="Vidrios de comercio rotos"/>
    <x v="0"/>
    <x v="0"/>
    <s v="Cerrado"/>
    <s v="No aplica"/>
  </r>
  <r>
    <n v="158"/>
    <x v="16"/>
    <x v="16"/>
    <x v="16"/>
    <x v="3"/>
    <x v="18"/>
    <x v="1"/>
    <x v="8"/>
    <s v="-31,423018915313, -64,1493562190664"/>
    <d v="1984-06-11T00:00:00"/>
    <n v="30"/>
    <x v="3"/>
    <x v="0"/>
    <s v="🚺"/>
    <x v="1"/>
    <d v="1957-08-08T00:00:00"/>
    <n v="57"/>
    <x v="2"/>
    <x v="0"/>
    <s v="🚹"/>
    <n v="1"/>
    <x v="1"/>
    <x v="3"/>
    <s v="No aplica"/>
    <s v="Celular, tarjetas bancarias"/>
    <x v="1"/>
    <x v="0"/>
    <s v="Cerrado"/>
    <s v="No aplica"/>
  </r>
  <r>
    <n v="16"/>
    <x v="17"/>
    <x v="17"/>
    <x v="17"/>
    <x v="0"/>
    <x v="19"/>
    <x v="10"/>
    <x v="10"/>
    <s v="-31,4285567311661, -64,1853198281007"/>
    <d v="1999-06-09T00:00:00"/>
    <n v="24"/>
    <x v="1"/>
    <x v="1"/>
    <s v="🚹"/>
    <x v="2"/>
    <d v="1952-09-24T00:00:00"/>
    <n v="71"/>
    <x v="0"/>
    <x v="1"/>
    <s v="🚺"/>
    <n v="1"/>
    <x v="0"/>
    <x v="0"/>
    <s v="No aplica"/>
    <s v="No aplica"/>
    <x v="1"/>
    <x v="1"/>
    <s v="Cerrado"/>
    <s v="275"/>
  </r>
  <r>
    <n v="17"/>
    <x v="18"/>
    <x v="18"/>
    <x v="18"/>
    <x v="6"/>
    <x v="20"/>
    <x v="0"/>
    <x v="7"/>
    <s v="-31,4015892433235, -64,160442876477"/>
    <d v="1992-02-01T00:00:00"/>
    <n v="28"/>
    <x v="3"/>
    <x v="0"/>
    <s v="🚺"/>
    <x v="4"/>
    <d v="1947-07-03T00:00:00"/>
    <n v="73"/>
    <x v="0"/>
    <x v="0"/>
    <s v="🚹"/>
    <n v="1"/>
    <x v="0"/>
    <x v="0"/>
    <s v="Alevosía"/>
    <s v="No aplica"/>
    <x v="0"/>
    <x v="0"/>
    <s v="En investigación"/>
    <s v="279"/>
  </r>
  <r>
    <n v="230"/>
    <x v="19"/>
    <x v="19"/>
    <x v="19"/>
    <x v="5"/>
    <x v="21"/>
    <x v="3"/>
    <x v="5"/>
    <s v="-31,3477902896523, -64,2644406169297"/>
    <d v="1964-10-22T00:00:00"/>
    <n v="50"/>
    <x v="0"/>
    <x v="1"/>
    <s v="🚹"/>
    <x v="0"/>
    <d v="2010-11-06T00:00:00"/>
    <n v="4"/>
    <x v="5"/>
    <x v="1"/>
    <s v="🚺"/>
    <n v="1"/>
    <x v="1"/>
    <x v="0"/>
    <s v="No aplica"/>
    <s v="Estafa bancaria"/>
    <x v="1"/>
    <x v="0"/>
    <s v="Cerrado"/>
    <s v="No aplica"/>
  </r>
  <r>
    <n v="45"/>
    <x v="20"/>
    <x v="20"/>
    <x v="20"/>
    <x v="3"/>
    <x v="22"/>
    <x v="0"/>
    <x v="6"/>
    <s v="-31,3909520937826, -64,1836424491715"/>
    <d v="1983-02-13T00:00:00"/>
    <n v="32"/>
    <x v="3"/>
    <x v="0"/>
    <s v="🚺"/>
    <x v="4"/>
    <d v="1950-11-17T00:00:00"/>
    <n v="64"/>
    <x v="2"/>
    <x v="0"/>
    <s v="🚹"/>
    <n v="2"/>
    <x v="1"/>
    <x v="0"/>
    <s v="No aplica"/>
    <s v="Cuentas falsas"/>
    <x v="1"/>
    <x v="1"/>
    <s v="Abierto"/>
    <s v="No aplica"/>
  </r>
  <r>
    <n v="20"/>
    <x v="21"/>
    <x v="21"/>
    <x v="21"/>
    <x v="0"/>
    <x v="23"/>
    <x v="3"/>
    <x v="8"/>
    <s v="-31,423018915313, -64,1493562190664"/>
    <d v="2004-10-14T00:00:00"/>
    <n v="12"/>
    <x v="2"/>
    <x v="1"/>
    <s v="🚹"/>
    <x v="3"/>
    <d v="1979-02-02T00:00:00"/>
    <n v="37"/>
    <x v="1"/>
    <x v="0"/>
    <s v="🚹"/>
    <n v="2"/>
    <x v="0"/>
    <x v="0"/>
    <s v="No aplica"/>
    <s v="Cuentas falsas"/>
    <x v="0"/>
    <x v="1"/>
    <s v="En investigación"/>
    <s v="15"/>
  </r>
  <r>
    <n v="25"/>
    <x v="22"/>
    <x v="22"/>
    <x v="22"/>
    <x v="5"/>
    <x v="24"/>
    <x v="0"/>
    <x v="5"/>
    <s v="-31,3477902896523, -64,2644406169297"/>
    <d v="1973-06-19T00:00:00"/>
    <n v="42"/>
    <x v="6"/>
    <x v="1"/>
    <s v="🚹"/>
    <x v="4"/>
    <d v="1972-12-04T00:00:00"/>
    <n v="42"/>
    <x v="1"/>
    <x v="1"/>
    <s v="🚺"/>
    <n v="1"/>
    <x v="0"/>
    <x v="0"/>
    <s v="No aplica"/>
    <s v="Vidrios de comercio rotos"/>
    <x v="1"/>
    <x v="1"/>
    <s v="En investigación"/>
    <s v="208"/>
  </r>
  <r>
    <n v="469"/>
    <x v="23"/>
    <x v="23"/>
    <x v="23"/>
    <x v="5"/>
    <x v="25"/>
    <x v="10"/>
    <x v="3"/>
    <s v="-31,4148488101991, -64,1793406489438"/>
    <d v="2000-10-12T00:00:00"/>
    <n v="14"/>
    <x v="2"/>
    <x v="0"/>
    <s v="🚺"/>
    <x v="0"/>
    <d v="1954-07-28T00:00:00"/>
    <n v="60"/>
    <x v="2"/>
    <x v="1"/>
    <s v="🚺"/>
    <n v="2"/>
    <x v="1"/>
    <x v="0"/>
    <s v="No aplica"/>
    <s v="Dinero público desviado"/>
    <x v="0"/>
    <x v="0"/>
    <s v="Cerrado"/>
    <s v="No aplica"/>
  </r>
  <r>
    <n v="26"/>
    <x v="24"/>
    <x v="24"/>
    <x v="24"/>
    <x v="3"/>
    <x v="26"/>
    <x v="5"/>
    <x v="10"/>
    <s v="-31,4285567311661, -64,1853198281007"/>
    <d v="1956-01-25T00:00:00"/>
    <n v="67"/>
    <x v="4"/>
    <x v="0"/>
    <s v="🚺"/>
    <x v="1"/>
    <d v="1999-04-26T00:00:00"/>
    <n v="23"/>
    <x v="3"/>
    <x v="1"/>
    <s v="🚺"/>
    <n v="3"/>
    <x v="0"/>
    <x v="0"/>
    <s v="Por vínculo"/>
    <s v="No aplica"/>
    <x v="1"/>
    <x v="1"/>
    <s v="Abierto"/>
    <s v="58"/>
  </r>
  <r>
    <n v="27"/>
    <x v="25"/>
    <x v="25"/>
    <x v="25"/>
    <x v="5"/>
    <x v="27"/>
    <x v="1"/>
    <x v="7"/>
    <s v="-31,4015892433235, -64,160442876477"/>
    <d v="1980-11-09T00:00:00"/>
    <n v="36"/>
    <x v="6"/>
    <x v="1"/>
    <s v="🚹"/>
    <x v="3"/>
    <d v="1998-01-21T00:00:00"/>
    <n v="19"/>
    <x v="3"/>
    <x v="0"/>
    <s v="🚹"/>
    <n v="2"/>
    <x v="0"/>
    <x v="0"/>
    <s v="No aplica"/>
    <s v="Cartera con documentación"/>
    <x v="1"/>
    <x v="0"/>
    <s v="Cerrado"/>
    <s v="67"/>
  </r>
  <r>
    <n v="28"/>
    <x v="26"/>
    <x v="26"/>
    <x v="26"/>
    <x v="4"/>
    <x v="28"/>
    <x v="1"/>
    <x v="8"/>
    <s v="-31,423018915313, -64,1493562190664"/>
    <d v="1958-05-09T00:00:00"/>
    <n v="63"/>
    <x v="5"/>
    <x v="0"/>
    <s v="🚺"/>
    <x v="0"/>
    <d v="1976-09-09T00:00:00"/>
    <n v="44"/>
    <x v="1"/>
    <x v="1"/>
    <s v="🚺"/>
    <n v="1"/>
    <x v="0"/>
    <x v="2"/>
    <s v="No aplica"/>
    <s v="Laptop marca HP"/>
    <x v="1"/>
    <x v="0"/>
    <s v="Cerrado"/>
    <s v="291"/>
  </r>
  <r>
    <n v="546"/>
    <x v="27"/>
    <x v="27"/>
    <x v="27"/>
    <x v="0"/>
    <x v="29"/>
    <x v="4"/>
    <x v="5"/>
    <s v="-31,3477902896523, -64,2644406169297"/>
    <d v="1991-09-14T00:00:00"/>
    <n v="23"/>
    <x v="1"/>
    <x v="0"/>
    <s v="🚺"/>
    <x v="0"/>
    <d v="1977-04-21T00:00:00"/>
    <n v="38"/>
    <x v="1"/>
    <x v="1"/>
    <s v="🚺"/>
    <n v="2"/>
    <x v="1"/>
    <x v="0"/>
    <s v="Sin agravantes"/>
    <s v="No aplica"/>
    <x v="0"/>
    <x v="0"/>
    <s v="En investigación"/>
    <s v="No aplica"/>
  </r>
  <r>
    <n v="31"/>
    <x v="28"/>
    <x v="28"/>
    <x v="28"/>
    <x v="1"/>
    <x v="30"/>
    <x v="7"/>
    <x v="3"/>
    <s v="-31,4148488101991, -64,1793406489438"/>
    <d v="1956-03-07T00:00:00"/>
    <n v="68"/>
    <x v="4"/>
    <x v="1"/>
    <s v="🚹"/>
    <x v="4"/>
    <d v="1996-09-11T00:00:00"/>
    <n v="28"/>
    <x v="6"/>
    <x v="1"/>
    <s v="🚺"/>
    <n v="1"/>
    <x v="0"/>
    <x v="0"/>
    <s v="No aplica"/>
    <s v="Evasión fiscal"/>
    <x v="0"/>
    <x v="0"/>
    <s v="Abierto"/>
    <s v="79"/>
  </r>
  <r>
    <n v="214"/>
    <x v="29"/>
    <x v="29"/>
    <x v="29"/>
    <x v="1"/>
    <x v="31"/>
    <x v="3"/>
    <x v="0"/>
    <s v="-31,4800162965848, -64,2094200976892"/>
    <d v="1991-05-17T00:00:00"/>
    <n v="23"/>
    <x v="1"/>
    <x v="1"/>
    <s v="🚹"/>
    <x v="0"/>
    <d v="2003-10-27T00:00:00"/>
    <n v="11"/>
    <x v="5"/>
    <x v="0"/>
    <s v="🚹"/>
    <n v="2"/>
    <x v="1"/>
    <x v="0"/>
    <s v="No aplica"/>
    <s v="Vidrios de comercio rotos"/>
    <x v="0"/>
    <x v="0"/>
    <s v="En investigación"/>
    <s v="No aplica"/>
  </r>
  <r>
    <n v="258"/>
    <x v="30"/>
    <x v="30"/>
    <x v="30"/>
    <x v="4"/>
    <x v="32"/>
    <x v="11"/>
    <x v="8"/>
    <s v="-31,423018915313, -64,1493562190664"/>
    <d v="2006-08-28T00:00:00"/>
    <n v="8"/>
    <x v="2"/>
    <x v="1"/>
    <s v="🚹"/>
    <x v="2"/>
    <d v="1944-05-27T00:00:00"/>
    <n v="71"/>
    <x v="0"/>
    <x v="1"/>
    <s v="🚺"/>
    <n v="3"/>
    <x v="1"/>
    <x v="0"/>
    <s v="Sin agravantes"/>
    <s v="No aplica"/>
    <x v="0"/>
    <x v="0"/>
    <s v="Cerrado"/>
    <s v="No aplica"/>
  </r>
  <r>
    <n v="422"/>
    <x v="31"/>
    <x v="31"/>
    <x v="31"/>
    <x v="5"/>
    <x v="7"/>
    <x v="2"/>
    <x v="9"/>
    <s v="-31,4076397196409, -64,2020170430678"/>
    <d v="1968-06-14T00:00:00"/>
    <n v="46"/>
    <x v="0"/>
    <x v="0"/>
    <s v="🚺"/>
    <x v="0"/>
    <d v="1997-04-14T00:00:00"/>
    <n v="18"/>
    <x v="3"/>
    <x v="1"/>
    <s v="🚺"/>
    <n v="1"/>
    <x v="1"/>
    <x v="1"/>
    <s v="No aplica"/>
    <s v="Laptop marca HP"/>
    <x v="0"/>
    <x v="0"/>
    <s v="Abierto"/>
    <s v="No aplica"/>
  </r>
  <r>
    <n v="33"/>
    <x v="32"/>
    <x v="32"/>
    <x v="32"/>
    <x v="0"/>
    <x v="33"/>
    <x v="8"/>
    <x v="1"/>
    <s v="-31,4129883640337, -64,1681120522587"/>
    <d v="1951-01-20T00:00:00"/>
    <n v="68"/>
    <x v="4"/>
    <x v="1"/>
    <s v="🚹"/>
    <x v="3"/>
    <d v="1980-05-22T00:00:00"/>
    <n v="38"/>
    <x v="1"/>
    <x v="1"/>
    <s v="🚺"/>
    <n v="2"/>
    <x v="0"/>
    <x v="4"/>
    <s v="Con ensañamiento"/>
    <s v="No aplica"/>
    <x v="1"/>
    <x v="0"/>
    <s v="Cerrado"/>
    <s v="34"/>
  </r>
  <r>
    <n v="35"/>
    <x v="33"/>
    <x v="33"/>
    <x v="33"/>
    <x v="2"/>
    <x v="34"/>
    <x v="4"/>
    <x v="5"/>
    <s v="-31,3477902896523, -64,2644406169297"/>
    <d v="1976-03-01T00:00:00"/>
    <n v="43"/>
    <x v="6"/>
    <x v="1"/>
    <s v="🚹"/>
    <x v="4"/>
    <d v="2011-06-13T00:00:00"/>
    <n v="8"/>
    <x v="5"/>
    <x v="1"/>
    <s v="🚺"/>
    <n v="1"/>
    <x v="0"/>
    <x v="4"/>
    <s v="Con ensañamiento"/>
    <s v="No aplica"/>
    <x v="0"/>
    <x v="0"/>
    <s v="Cerrado"/>
    <s v="152"/>
  </r>
  <r>
    <n v="37"/>
    <x v="34"/>
    <x v="34"/>
    <x v="34"/>
    <x v="3"/>
    <x v="35"/>
    <x v="4"/>
    <x v="5"/>
    <s v="-31,3477902896523, -64,2644406169297"/>
    <d v="1950-09-23T00:00:00"/>
    <n v="68"/>
    <x v="4"/>
    <x v="1"/>
    <s v="🚹"/>
    <x v="2"/>
    <d v="2003-11-05T00:00:00"/>
    <n v="15"/>
    <x v="5"/>
    <x v="0"/>
    <s v="🚹"/>
    <n v="1"/>
    <x v="0"/>
    <x v="0"/>
    <s v="No aplica"/>
    <s v="Cartera con documentación"/>
    <x v="1"/>
    <x v="1"/>
    <s v="Cerrado"/>
    <s v="272"/>
  </r>
  <r>
    <n v="39"/>
    <x v="35"/>
    <x v="35"/>
    <x v="35"/>
    <x v="2"/>
    <x v="36"/>
    <x v="6"/>
    <x v="2"/>
    <s v="-31,334500143441, -64,2460773260564"/>
    <d v="2001-09-15T00:00:00"/>
    <n v="13"/>
    <x v="2"/>
    <x v="1"/>
    <s v="🚹"/>
    <x v="0"/>
    <d v="1949-07-27T00:00:00"/>
    <n v="65"/>
    <x v="0"/>
    <x v="1"/>
    <s v="🚺"/>
    <n v="1"/>
    <x v="0"/>
    <x v="0"/>
    <s v="No aplica"/>
    <s v="Estafa bancaria"/>
    <x v="1"/>
    <x v="0"/>
    <s v="Cerrado"/>
    <s v="42"/>
  </r>
  <r>
    <n v="366"/>
    <x v="36"/>
    <x v="36"/>
    <x v="36"/>
    <x v="2"/>
    <x v="37"/>
    <x v="7"/>
    <x v="1"/>
    <s v="-31,4129883640337, -64,1681120522587"/>
    <d v="1957-12-08T00:00:00"/>
    <n v="57"/>
    <x v="5"/>
    <x v="1"/>
    <s v="🚹"/>
    <x v="1"/>
    <d v="2009-06-23T00:00:00"/>
    <n v="5"/>
    <x v="5"/>
    <x v="1"/>
    <s v="🚺"/>
    <n v="2"/>
    <x v="1"/>
    <x v="0"/>
    <s v="No aplica"/>
    <s v="No aplica"/>
    <x v="1"/>
    <x v="1"/>
    <s v="En investigación"/>
    <s v="No aplica"/>
  </r>
  <r>
    <n v="179"/>
    <x v="37"/>
    <x v="37"/>
    <x v="37"/>
    <x v="0"/>
    <x v="38"/>
    <x v="0"/>
    <x v="0"/>
    <s v="-31,4800162965848, -64,2094200976892"/>
    <d v="1988-08-12T00:00:00"/>
    <n v="26"/>
    <x v="3"/>
    <x v="1"/>
    <s v="🚹"/>
    <x v="1"/>
    <d v="1970-11-16T00:00:00"/>
    <n v="44"/>
    <x v="1"/>
    <x v="0"/>
    <s v="🚹"/>
    <n v="1"/>
    <x v="1"/>
    <x v="0"/>
    <s v="No aplica"/>
    <s v="Pasta base"/>
    <x v="1"/>
    <x v="1"/>
    <s v="Cerrado"/>
    <s v="No aplica"/>
  </r>
  <r>
    <n v="295"/>
    <x v="38"/>
    <x v="38"/>
    <x v="38"/>
    <x v="1"/>
    <x v="39"/>
    <x v="5"/>
    <x v="8"/>
    <s v="-31,423018915313, -64,1493562190664"/>
    <d v="2006-01-19T00:00:00"/>
    <n v="9"/>
    <x v="2"/>
    <x v="0"/>
    <s v="🚺"/>
    <x v="4"/>
    <d v="1964-12-19T00:00:00"/>
    <n v="50"/>
    <x v="4"/>
    <x v="1"/>
    <s v="🚺"/>
    <n v="3"/>
    <x v="1"/>
    <x v="0"/>
    <s v="No aplica"/>
    <s v="5kg de cocaína"/>
    <x v="0"/>
    <x v="1"/>
    <s v="Cerrado"/>
    <s v="No aplica"/>
  </r>
  <r>
    <n v="40"/>
    <x v="39"/>
    <x v="39"/>
    <x v="39"/>
    <x v="4"/>
    <x v="40"/>
    <x v="10"/>
    <x v="7"/>
    <s v="-31,4015892433235, -64,160442876477"/>
    <d v="2003-07-27T00:00:00"/>
    <n v="20"/>
    <x v="1"/>
    <x v="1"/>
    <s v="🚹"/>
    <x v="0"/>
    <d v="1981-12-22T00:00:00"/>
    <n v="42"/>
    <x v="1"/>
    <x v="1"/>
    <s v="🚺"/>
    <n v="1"/>
    <x v="0"/>
    <x v="0"/>
    <s v="No aplica"/>
    <s v="Dinero público desviado"/>
    <x v="1"/>
    <x v="0"/>
    <s v="En investigación"/>
    <s v="216"/>
  </r>
  <r>
    <n v="42"/>
    <x v="40"/>
    <x v="40"/>
    <x v="40"/>
    <x v="6"/>
    <x v="41"/>
    <x v="11"/>
    <x v="5"/>
    <s v="-31,3477902896523, -64,2644406169297"/>
    <d v="1983-12-10T00:00:00"/>
    <n v="39"/>
    <x v="6"/>
    <x v="1"/>
    <s v="🚹"/>
    <x v="4"/>
    <d v="1944-03-13T00:00:00"/>
    <n v="79"/>
    <x v="0"/>
    <x v="1"/>
    <s v="🚺"/>
    <n v="2"/>
    <x v="0"/>
    <x v="4"/>
    <s v="Con ensañamiento"/>
    <s v="No aplica"/>
    <x v="0"/>
    <x v="0"/>
    <s v="Cerrado"/>
    <s v="154"/>
  </r>
  <r>
    <n v="43"/>
    <x v="41"/>
    <x v="41"/>
    <x v="41"/>
    <x v="6"/>
    <x v="42"/>
    <x v="4"/>
    <x v="8"/>
    <s v="-31,423018915313, -64,1493562190664"/>
    <d v="1986-06-13T00:00:00"/>
    <n v="29"/>
    <x v="3"/>
    <x v="0"/>
    <s v="🚺"/>
    <x v="1"/>
    <d v="1947-01-01T00:00:00"/>
    <n v="69"/>
    <x v="0"/>
    <x v="1"/>
    <s v="🚺"/>
    <n v="1"/>
    <x v="0"/>
    <x v="0"/>
    <s v="No aplica"/>
    <s v="Cuentas falsas"/>
    <x v="0"/>
    <x v="1"/>
    <s v="Cerrado"/>
    <s v="181"/>
  </r>
  <r>
    <n v="208"/>
    <x v="42"/>
    <x v="42"/>
    <x v="42"/>
    <x v="1"/>
    <x v="43"/>
    <x v="4"/>
    <x v="1"/>
    <s v="-31,4129883640337, -64,1681120522587"/>
    <d v="1958-06-01T00:00:00"/>
    <n v="57"/>
    <x v="5"/>
    <x v="1"/>
    <s v="🚹"/>
    <x v="3"/>
    <d v="1985-12-11T00:00:00"/>
    <n v="29"/>
    <x v="6"/>
    <x v="0"/>
    <s v="🚹"/>
    <n v="3"/>
    <x v="1"/>
    <x v="0"/>
    <s v="No aplica"/>
    <s v="5kg de cocaína"/>
    <x v="1"/>
    <x v="0"/>
    <s v="Cerrado"/>
    <s v="No aplica"/>
  </r>
  <r>
    <n v="44"/>
    <x v="43"/>
    <x v="43"/>
    <x v="43"/>
    <x v="0"/>
    <x v="1"/>
    <x v="0"/>
    <x v="0"/>
    <s v="-31,4800162965848, -64,2094200976892"/>
    <d v="1952-01-28T00:00:00"/>
    <n v="65"/>
    <x v="4"/>
    <x v="0"/>
    <s v="🚺"/>
    <x v="1"/>
    <d v="1962-09-18T00:00:00"/>
    <n v="54"/>
    <x v="4"/>
    <x v="0"/>
    <s v="🚹"/>
    <n v="2"/>
    <x v="0"/>
    <x v="0"/>
    <s v="No aplica"/>
    <s v="Plantas de marihuana"/>
    <x v="0"/>
    <x v="1"/>
    <s v="Cerrado"/>
    <s v="187"/>
  </r>
  <r>
    <n v="46"/>
    <x v="36"/>
    <x v="36"/>
    <x v="36"/>
    <x v="2"/>
    <x v="44"/>
    <x v="7"/>
    <x v="0"/>
    <s v="-31,4800162965848, -64,2094200976892"/>
    <d v="1960-08-12T00:00:00"/>
    <n v="54"/>
    <x v="0"/>
    <x v="1"/>
    <s v="🚹"/>
    <x v="2"/>
    <d v="1971-02-19T00:00:00"/>
    <n v="44"/>
    <x v="1"/>
    <x v="0"/>
    <s v="🚹"/>
    <n v="1"/>
    <x v="0"/>
    <x v="0"/>
    <s v="No aplica"/>
    <s v="Ropa de marca"/>
    <x v="0"/>
    <x v="1"/>
    <s v="Abierto"/>
    <s v="107"/>
  </r>
  <r>
    <n v="47"/>
    <x v="44"/>
    <x v="44"/>
    <x v="44"/>
    <x v="3"/>
    <x v="45"/>
    <x v="8"/>
    <x v="11"/>
    <s v="-31,4506257494184, -64,1733054344705"/>
    <d v="2004-05-22T00:00:00"/>
    <n v="12"/>
    <x v="2"/>
    <x v="0"/>
    <s v="🚺"/>
    <x v="4"/>
    <d v="2006-11-05T00:00:00"/>
    <n v="9"/>
    <x v="5"/>
    <x v="0"/>
    <s v="🚹"/>
    <n v="1"/>
    <x v="0"/>
    <x v="0"/>
    <s v="No aplica"/>
    <s v="Dinero público desviado"/>
    <x v="1"/>
    <x v="1"/>
    <s v="Cerrado"/>
    <s v="172"/>
  </r>
  <r>
    <n v="677"/>
    <x v="45"/>
    <x v="45"/>
    <x v="45"/>
    <x v="0"/>
    <x v="46"/>
    <x v="6"/>
    <x v="7"/>
    <s v="-31,4015892433235, -64,160442876477"/>
    <d v="1959-11-01T00:00:00"/>
    <n v="55"/>
    <x v="0"/>
    <x v="0"/>
    <s v="🚺"/>
    <x v="0"/>
    <d v="1988-05-27T00:00:00"/>
    <n v="27"/>
    <x v="6"/>
    <x v="0"/>
    <s v="🚹"/>
    <n v="3"/>
    <x v="1"/>
    <x v="0"/>
    <s v="No aplica"/>
    <s v="Dinero público desviado"/>
    <x v="0"/>
    <x v="1"/>
    <s v="Abierto"/>
    <s v="No aplica"/>
  </r>
  <r>
    <n v="600"/>
    <x v="46"/>
    <x v="46"/>
    <x v="46"/>
    <x v="6"/>
    <x v="47"/>
    <x v="0"/>
    <x v="2"/>
    <s v="-31,334500143441, -64,2460773260564"/>
    <d v="1950-04-25T00:00:00"/>
    <n v="65"/>
    <x v="4"/>
    <x v="1"/>
    <s v="🚹"/>
    <x v="4"/>
    <d v="1993-02-15T00:00:00"/>
    <n v="22"/>
    <x v="3"/>
    <x v="0"/>
    <s v="🚹"/>
    <n v="1"/>
    <x v="1"/>
    <x v="0"/>
    <s v="No aplica"/>
    <s v="No aplica"/>
    <x v="1"/>
    <x v="0"/>
    <s v="Cerrado"/>
    <s v="No aplica"/>
  </r>
  <r>
    <n v="49"/>
    <x v="47"/>
    <x v="47"/>
    <x v="47"/>
    <x v="4"/>
    <x v="48"/>
    <x v="4"/>
    <x v="8"/>
    <s v="-31,423018915313, -64,1493562190664"/>
    <d v="2002-10-19T00:00:00"/>
    <n v="16"/>
    <x v="2"/>
    <x v="0"/>
    <s v="🚺"/>
    <x v="3"/>
    <d v="1952-03-17T00:00:00"/>
    <n v="67"/>
    <x v="0"/>
    <x v="1"/>
    <s v="🚺"/>
    <n v="3"/>
    <x v="0"/>
    <x v="0"/>
    <s v="No aplica"/>
    <s v="Dinero público desviado"/>
    <x v="0"/>
    <x v="0"/>
    <s v="En investigación"/>
    <s v="297"/>
  </r>
  <r>
    <n v="119"/>
    <x v="48"/>
    <x v="48"/>
    <x v="48"/>
    <x v="4"/>
    <x v="49"/>
    <x v="4"/>
    <x v="5"/>
    <s v="-31,3477902896523, -64,2644406169297"/>
    <d v="1954-05-27T00:00:00"/>
    <n v="61"/>
    <x v="5"/>
    <x v="0"/>
    <s v="🚺"/>
    <x v="3"/>
    <d v="1946-01-07T00:00:00"/>
    <n v="69"/>
    <x v="0"/>
    <x v="0"/>
    <s v="🚹"/>
    <n v="2"/>
    <x v="1"/>
    <x v="0"/>
    <s v="No aplica"/>
    <s v="Cuentas falsas"/>
    <x v="1"/>
    <x v="0"/>
    <s v="En investigación"/>
    <s v="No aplica"/>
  </r>
  <r>
    <n v="50"/>
    <x v="49"/>
    <x v="49"/>
    <x v="49"/>
    <x v="0"/>
    <x v="50"/>
    <x v="5"/>
    <x v="3"/>
    <s v="-31,4148488101991, -64,1793406489438"/>
    <d v="1954-01-04T00:00:00"/>
    <n v="66"/>
    <x v="4"/>
    <x v="1"/>
    <s v="🚹"/>
    <x v="2"/>
    <d v="1958-07-13T00:00:00"/>
    <n v="62"/>
    <x v="2"/>
    <x v="1"/>
    <s v="🚺"/>
    <n v="3"/>
    <x v="0"/>
    <x v="0"/>
    <s v="No aplica"/>
    <s v="Dinero público desviado"/>
    <x v="0"/>
    <x v="0"/>
    <s v="Abierto"/>
    <s v="41"/>
  </r>
  <r>
    <n v="353"/>
    <x v="22"/>
    <x v="22"/>
    <x v="22"/>
    <x v="5"/>
    <x v="51"/>
    <x v="6"/>
    <x v="6"/>
    <s v="-31,3909520937826, -64,1836424491715"/>
    <d v="1955-03-26T00:00:00"/>
    <n v="60"/>
    <x v="5"/>
    <x v="1"/>
    <s v="🚹"/>
    <x v="1"/>
    <d v="1990-11-04T00:00:00"/>
    <n v="24"/>
    <x v="3"/>
    <x v="1"/>
    <s v="🚺"/>
    <n v="2"/>
    <x v="1"/>
    <x v="0"/>
    <s v="No aplica"/>
    <s v="Lavado de dinero"/>
    <x v="0"/>
    <x v="0"/>
    <s v="Cerrado"/>
    <s v="No aplica"/>
  </r>
  <r>
    <n v="983"/>
    <x v="50"/>
    <x v="50"/>
    <x v="50"/>
    <x v="0"/>
    <x v="52"/>
    <x v="6"/>
    <x v="1"/>
    <s v="-31,4129883640337, -64,1681120522587"/>
    <d v="1986-07-06T00:00:00"/>
    <n v="29"/>
    <x v="3"/>
    <x v="0"/>
    <s v="🚺"/>
    <x v="1"/>
    <d v="1959-01-09T00:00:00"/>
    <n v="56"/>
    <x v="2"/>
    <x v="0"/>
    <s v="🚹"/>
    <n v="1"/>
    <x v="1"/>
    <x v="0"/>
    <s v="No aplica"/>
    <s v="Lavado de dinero"/>
    <x v="1"/>
    <x v="0"/>
    <s v="Cerrado"/>
    <s v="No aplica"/>
  </r>
  <r>
    <n v="52"/>
    <x v="51"/>
    <x v="51"/>
    <x v="51"/>
    <x v="5"/>
    <x v="53"/>
    <x v="1"/>
    <x v="9"/>
    <s v="-31,4076397196409, -64,2020170430678"/>
    <d v="1982-11-22T00:00:00"/>
    <n v="40"/>
    <x v="6"/>
    <x v="1"/>
    <s v="🚹"/>
    <x v="4"/>
    <d v="1945-05-08T00:00:00"/>
    <n v="78"/>
    <x v="0"/>
    <x v="1"/>
    <s v="🚺"/>
    <n v="1"/>
    <x v="0"/>
    <x v="1"/>
    <s v="No aplica"/>
    <s v="Auto modelo XXX, patente XXX XXX"/>
    <x v="1"/>
    <x v="0"/>
    <s v="Cerrado"/>
    <s v="270"/>
  </r>
  <r>
    <n v="448"/>
    <x v="52"/>
    <x v="52"/>
    <x v="52"/>
    <x v="3"/>
    <x v="54"/>
    <x v="9"/>
    <x v="7"/>
    <s v="-31,4015892433235, -64,160442876477"/>
    <d v="1956-10-01T00:00:00"/>
    <n v="58"/>
    <x v="5"/>
    <x v="0"/>
    <s v="🚺"/>
    <x v="0"/>
    <d v="1967-06-24T00:00:00"/>
    <n v="48"/>
    <x v="4"/>
    <x v="1"/>
    <s v="🚺"/>
    <n v="2"/>
    <x v="1"/>
    <x v="0"/>
    <s v="No aplica"/>
    <s v="No aplica"/>
    <x v="1"/>
    <x v="1"/>
    <s v="Cerrado"/>
    <s v="No aplica"/>
  </r>
  <r>
    <n v="695"/>
    <x v="53"/>
    <x v="53"/>
    <x v="53"/>
    <x v="5"/>
    <x v="55"/>
    <x v="9"/>
    <x v="1"/>
    <s v="-31,4129883640337, -64,1681120522587"/>
    <d v="1968-06-17T00:00:00"/>
    <n v="47"/>
    <x v="0"/>
    <x v="0"/>
    <s v="🚺"/>
    <x v="1"/>
    <d v="2012-12-01T00:00:00"/>
    <n v="2"/>
    <x v="5"/>
    <x v="0"/>
    <s v="🚹"/>
    <n v="1"/>
    <x v="1"/>
    <x v="0"/>
    <s v="No aplica"/>
    <s v="Celular"/>
    <x v="1"/>
    <x v="1"/>
    <s v="Cerrado"/>
    <s v="No aplica"/>
  </r>
  <r>
    <n v="56"/>
    <x v="4"/>
    <x v="4"/>
    <x v="4"/>
    <x v="3"/>
    <x v="56"/>
    <x v="2"/>
    <x v="6"/>
    <s v="-31,3909520937826, -64,1836424491715"/>
    <d v="1960-08-08T00:00:00"/>
    <n v="54"/>
    <x v="0"/>
    <x v="1"/>
    <s v="🚹"/>
    <x v="3"/>
    <d v="2004-12-20T00:00:00"/>
    <n v="10"/>
    <x v="5"/>
    <x v="1"/>
    <s v="🚺"/>
    <n v="1"/>
    <x v="0"/>
    <x v="0"/>
    <s v="No aplica"/>
    <s v="Lavado de dinero"/>
    <x v="1"/>
    <x v="1"/>
    <s v="Cerrado"/>
    <s v="150"/>
  </r>
  <r>
    <n v="58"/>
    <x v="54"/>
    <x v="54"/>
    <x v="54"/>
    <x v="3"/>
    <x v="57"/>
    <x v="6"/>
    <x v="1"/>
    <s v="-31,4129883640337, -64,1681120522587"/>
    <d v="1966-09-26T00:00:00"/>
    <n v="54"/>
    <x v="0"/>
    <x v="1"/>
    <s v="🚹"/>
    <x v="3"/>
    <d v="1967-03-04T00:00:00"/>
    <n v="53"/>
    <x v="4"/>
    <x v="1"/>
    <s v="🚺"/>
    <n v="1"/>
    <x v="0"/>
    <x v="2"/>
    <s v="Alevosía"/>
    <s v="No aplica"/>
    <x v="0"/>
    <x v="0"/>
    <s v="En investigación"/>
    <s v="133"/>
  </r>
  <r>
    <n v="934"/>
    <x v="55"/>
    <x v="55"/>
    <x v="55"/>
    <x v="0"/>
    <x v="58"/>
    <x v="4"/>
    <x v="10"/>
    <s v="-31,4285567311661, -64,1853198281007"/>
    <d v="1955-09-28T00:00:00"/>
    <n v="59"/>
    <x v="5"/>
    <x v="0"/>
    <s v="🚺"/>
    <x v="2"/>
    <d v="1960-10-07T00:00:00"/>
    <n v="54"/>
    <x v="4"/>
    <x v="1"/>
    <s v="🚺"/>
    <n v="3"/>
    <x v="1"/>
    <x v="0"/>
    <s v="No aplica"/>
    <s v="Ropa de marca"/>
    <x v="0"/>
    <x v="0"/>
    <s v="Abierto"/>
    <s v="No aplica"/>
  </r>
  <r>
    <n v="787"/>
    <x v="56"/>
    <x v="56"/>
    <x v="56"/>
    <x v="3"/>
    <x v="59"/>
    <x v="9"/>
    <x v="7"/>
    <s v="-31,4015892433235, -64,160442876477"/>
    <d v="1975-04-24T00:00:00"/>
    <n v="40"/>
    <x v="6"/>
    <x v="1"/>
    <s v="🚹"/>
    <x v="3"/>
    <d v="1992-03-11T00:00:00"/>
    <n v="23"/>
    <x v="3"/>
    <x v="1"/>
    <s v="🚺"/>
    <n v="2"/>
    <x v="1"/>
    <x v="2"/>
    <s v="Con ensañamiento"/>
    <s v="No aplica"/>
    <x v="1"/>
    <x v="1"/>
    <s v="En investigación"/>
    <s v="No aplica"/>
  </r>
  <r>
    <n v="350"/>
    <x v="57"/>
    <x v="57"/>
    <x v="57"/>
    <x v="4"/>
    <x v="60"/>
    <x v="11"/>
    <x v="4"/>
    <s v="-31,3759272890294, -64,2284587792478"/>
    <d v="1985-12-08T00:00:00"/>
    <n v="29"/>
    <x v="3"/>
    <x v="1"/>
    <s v="🚹"/>
    <x v="2"/>
    <d v="2000-08-27T00:00:00"/>
    <n v="15"/>
    <x v="5"/>
    <x v="1"/>
    <s v="🚺"/>
    <n v="2"/>
    <x v="1"/>
    <x v="0"/>
    <s v="No aplica"/>
    <s v="No aplica"/>
    <x v="0"/>
    <x v="0"/>
    <s v="Cerrado"/>
    <s v="No aplica"/>
  </r>
  <r>
    <n v="923"/>
    <x v="57"/>
    <x v="57"/>
    <x v="57"/>
    <x v="4"/>
    <x v="61"/>
    <x v="4"/>
    <x v="2"/>
    <s v="-31,334500143441, -64,2460773260564"/>
    <d v="1995-05-18T00:00:00"/>
    <n v="20"/>
    <x v="1"/>
    <x v="0"/>
    <s v="🚺"/>
    <x v="2"/>
    <d v="2012-01-18T00:00:00"/>
    <n v="3"/>
    <x v="5"/>
    <x v="0"/>
    <s v="🚹"/>
    <n v="1"/>
    <x v="1"/>
    <x v="0"/>
    <s v="No aplica"/>
    <s v="Contrato fraudulento"/>
    <x v="0"/>
    <x v="0"/>
    <s v="Abierto"/>
    <s v="No aplica"/>
  </r>
  <r>
    <n v="59"/>
    <x v="58"/>
    <x v="58"/>
    <x v="58"/>
    <x v="6"/>
    <x v="62"/>
    <x v="10"/>
    <x v="11"/>
    <s v="-31,4506257494184, -64,1733054344705"/>
    <d v="1970-08-26T00:00:00"/>
    <n v="50"/>
    <x v="0"/>
    <x v="0"/>
    <s v="🚺"/>
    <x v="1"/>
    <d v="1977-03-02T00:00:00"/>
    <n v="44"/>
    <x v="1"/>
    <x v="1"/>
    <s v="🚺"/>
    <n v="1"/>
    <x v="0"/>
    <x v="0"/>
    <s v="No aplica"/>
    <s v="No aplica"/>
    <x v="1"/>
    <x v="0"/>
    <s v="Cerrado"/>
    <s v="69"/>
  </r>
  <r>
    <n v="60"/>
    <x v="59"/>
    <x v="59"/>
    <x v="59"/>
    <x v="0"/>
    <x v="63"/>
    <x v="2"/>
    <x v="11"/>
    <s v="-31,4506257494184, -64,1733054344705"/>
    <d v="2001-03-22T00:00:00"/>
    <n v="19"/>
    <x v="1"/>
    <x v="1"/>
    <s v="🚹"/>
    <x v="0"/>
    <d v="1944-05-16T00:00:00"/>
    <n v="76"/>
    <x v="0"/>
    <x v="0"/>
    <s v="🚹"/>
    <n v="2"/>
    <x v="0"/>
    <x v="0"/>
    <s v="No aplica"/>
    <s v="No aplica"/>
    <x v="1"/>
    <x v="0"/>
    <s v="Cerrado"/>
    <s v="96"/>
  </r>
  <r>
    <n v="63"/>
    <x v="60"/>
    <x v="60"/>
    <x v="60"/>
    <x v="1"/>
    <x v="64"/>
    <x v="5"/>
    <x v="1"/>
    <s v="-31,4129883640337, -64,1681120522587"/>
    <d v="1953-04-01T00:00:00"/>
    <n v="62"/>
    <x v="5"/>
    <x v="1"/>
    <s v="🚹"/>
    <x v="4"/>
    <d v="1988-06-24T00:00:00"/>
    <n v="26"/>
    <x v="6"/>
    <x v="1"/>
    <s v="🚺"/>
    <n v="2"/>
    <x v="0"/>
    <x v="0"/>
    <s v="No aplica"/>
    <s v="5kg de cocaína"/>
    <x v="0"/>
    <x v="1"/>
    <s v="Cerrado"/>
    <s v="69"/>
  </r>
  <r>
    <n v="65"/>
    <x v="61"/>
    <x v="61"/>
    <x v="61"/>
    <x v="6"/>
    <x v="65"/>
    <x v="9"/>
    <x v="1"/>
    <s v="-31,4129883640337, -64,1681120522587"/>
    <d v="1996-07-10T00:00:00"/>
    <n v="21"/>
    <x v="1"/>
    <x v="1"/>
    <s v="🚹"/>
    <x v="1"/>
    <d v="1942-10-28T00:00:00"/>
    <n v="74"/>
    <x v="0"/>
    <x v="1"/>
    <s v="🚺"/>
    <n v="1"/>
    <x v="0"/>
    <x v="0"/>
    <s v="No aplica"/>
    <s v="Grafitis en edificios públicos"/>
    <x v="1"/>
    <x v="1"/>
    <s v="Cerrado"/>
    <s v="228"/>
  </r>
  <r>
    <n v="67"/>
    <x v="62"/>
    <x v="62"/>
    <x v="62"/>
    <x v="4"/>
    <x v="66"/>
    <x v="8"/>
    <x v="3"/>
    <s v="-31,4148488101991, -64,1793406489438"/>
    <d v="2006-11-25T00:00:00"/>
    <n v="12"/>
    <x v="2"/>
    <x v="0"/>
    <s v="🚺"/>
    <x v="2"/>
    <d v="1999-09-19T00:00:00"/>
    <n v="20"/>
    <x v="3"/>
    <x v="1"/>
    <s v="🚺"/>
    <n v="2"/>
    <x v="0"/>
    <x v="0"/>
    <s v="No aplica"/>
    <s v="5kg de cocaína"/>
    <x v="1"/>
    <x v="0"/>
    <s v="Cerrado"/>
    <s v="52"/>
  </r>
  <r>
    <n v="70"/>
    <x v="63"/>
    <x v="63"/>
    <x v="63"/>
    <x v="2"/>
    <x v="67"/>
    <x v="5"/>
    <x v="1"/>
    <s v="-31,4129883640337, -64,1681120522587"/>
    <d v="1994-06-10T00:00:00"/>
    <n v="23"/>
    <x v="1"/>
    <x v="1"/>
    <s v="🚹"/>
    <x v="1"/>
    <d v="2014-08-18T00:00:00"/>
    <n v="2"/>
    <x v="5"/>
    <x v="0"/>
    <s v="🚹"/>
    <n v="2"/>
    <x v="0"/>
    <x v="0"/>
    <s v="No aplica"/>
    <s v="Plantas de marihuana"/>
    <x v="0"/>
    <x v="0"/>
    <s v="Cerrado"/>
    <s v="188"/>
  </r>
  <r>
    <n v="839"/>
    <x v="64"/>
    <x v="64"/>
    <x v="64"/>
    <x v="4"/>
    <x v="68"/>
    <x v="3"/>
    <x v="10"/>
    <s v="-31,4285567311661, -64,1853198281007"/>
    <d v="2002-01-16T00:00:00"/>
    <n v="13"/>
    <x v="2"/>
    <x v="1"/>
    <s v="🚹"/>
    <x v="3"/>
    <d v="1968-09-07T00:00:00"/>
    <n v="47"/>
    <x v="4"/>
    <x v="0"/>
    <s v="🚹"/>
    <n v="2"/>
    <x v="1"/>
    <x v="0"/>
    <s v="No aplica"/>
    <s v="Vidrios de comercio rotos"/>
    <x v="0"/>
    <x v="1"/>
    <s v="Cerrado"/>
    <s v="No aplica"/>
  </r>
  <r>
    <n v="509"/>
    <x v="65"/>
    <x v="65"/>
    <x v="65"/>
    <x v="4"/>
    <x v="69"/>
    <x v="7"/>
    <x v="5"/>
    <s v="-31,3477902896523, -64,2644406169297"/>
    <d v="1962-10-22T00:00:00"/>
    <n v="52"/>
    <x v="0"/>
    <x v="0"/>
    <s v="🚺"/>
    <x v="2"/>
    <d v="1953-12-06T00:00:00"/>
    <n v="61"/>
    <x v="2"/>
    <x v="1"/>
    <s v="🚺"/>
    <n v="1"/>
    <x v="1"/>
    <x v="3"/>
    <s v="Sin agravantes"/>
    <s v="No aplica"/>
    <x v="0"/>
    <x v="1"/>
    <s v="Abierto"/>
    <s v="No aplica"/>
  </r>
  <r>
    <n v="832"/>
    <x v="66"/>
    <x v="66"/>
    <x v="66"/>
    <x v="6"/>
    <x v="70"/>
    <x v="8"/>
    <x v="9"/>
    <s v="-31,4076397196409, -64,2020170430678"/>
    <d v="1987-07-20T00:00:00"/>
    <n v="28"/>
    <x v="3"/>
    <x v="0"/>
    <s v="🚺"/>
    <x v="2"/>
    <d v="1940-09-11T00:00:00"/>
    <n v="75"/>
    <x v="0"/>
    <x v="1"/>
    <s v="🚺"/>
    <n v="2"/>
    <x v="1"/>
    <x v="2"/>
    <s v="Con ensañamiento"/>
    <s v="No aplica"/>
    <x v="0"/>
    <x v="1"/>
    <s v="Cerrado"/>
    <s v="No aplica"/>
  </r>
  <r>
    <n v="679"/>
    <x v="67"/>
    <x v="67"/>
    <x v="67"/>
    <x v="2"/>
    <x v="71"/>
    <x v="2"/>
    <x v="3"/>
    <s v="-31,4148488101991, -64,1793406489438"/>
    <d v="1993-07-02T00:00:00"/>
    <n v="22"/>
    <x v="1"/>
    <x v="0"/>
    <s v="🚺"/>
    <x v="4"/>
    <d v="1979-04-28T00:00:00"/>
    <n v="36"/>
    <x v="1"/>
    <x v="0"/>
    <s v="🚹"/>
    <n v="3"/>
    <x v="1"/>
    <x v="0"/>
    <s v="No aplica"/>
    <s v="Celular"/>
    <x v="1"/>
    <x v="0"/>
    <s v="En investigación"/>
    <s v="No aplica"/>
  </r>
  <r>
    <n v="71"/>
    <x v="68"/>
    <x v="68"/>
    <x v="68"/>
    <x v="6"/>
    <x v="72"/>
    <x v="4"/>
    <x v="4"/>
    <s v="-31,3759272890294, -64,2284587792478"/>
    <d v="1956-09-13T00:00:00"/>
    <n v="58"/>
    <x v="5"/>
    <x v="1"/>
    <s v="🚹"/>
    <x v="3"/>
    <d v="1953-03-26T00:00:00"/>
    <n v="62"/>
    <x v="2"/>
    <x v="0"/>
    <s v="🚹"/>
    <n v="2"/>
    <x v="0"/>
    <x v="2"/>
    <s v="No aplica"/>
    <s v="Auto modelo XXX, patente XXX XXX"/>
    <x v="1"/>
    <x v="1"/>
    <s v="Cerrado"/>
    <s v="35"/>
  </r>
  <r>
    <n v="73"/>
    <x v="69"/>
    <x v="69"/>
    <x v="69"/>
    <x v="1"/>
    <x v="73"/>
    <x v="8"/>
    <x v="4"/>
    <s v="-31,3759272890294, -64,2284587792478"/>
    <d v="1978-08-20T00:00:00"/>
    <n v="37"/>
    <x v="6"/>
    <x v="0"/>
    <s v="🚺"/>
    <x v="1"/>
    <d v="1998-03-03T00:00:00"/>
    <n v="17"/>
    <x v="5"/>
    <x v="1"/>
    <s v="🚺"/>
    <n v="3"/>
    <x v="0"/>
    <x v="0"/>
    <s v="No aplica"/>
    <s v="Grafitis en edificios públicos"/>
    <x v="1"/>
    <x v="1"/>
    <s v="Cerrado"/>
    <s v="22"/>
  </r>
  <r>
    <n v="74"/>
    <x v="70"/>
    <x v="70"/>
    <x v="70"/>
    <x v="5"/>
    <x v="74"/>
    <x v="2"/>
    <x v="2"/>
    <s v="-31,334500143441, -64,2460773260564"/>
    <d v="1964-06-08T00:00:00"/>
    <n v="59"/>
    <x v="5"/>
    <x v="1"/>
    <s v="🚹"/>
    <x v="2"/>
    <d v="2004-05-10T00:00:00"/>
    <n v="19"/>
    <x v="3"/>
    <x v="0"/>
    <s v="🚹"/>
    <n v="3"/>
    <x v="0"/>
    <x v="0"/>
    <s v="No aplica"/>
    <s v="Contrato fraudulento"/>
    <x v="1"/>
    <x v="1"/>
    <s v="Cerrado"/>
    <s v="88"/>
  </r>
  <r>
    <n v="252"/>
    <x v="71"/>
    <x v="71"/>
    <x v="71"/>
    <x v="4"/>
    <x v="75"/>
    <x v="11"/>
    <x v="7"/>
    <s v="-31,4015892433235, -64,160442876477"/>
    <d v="1957-09-04T00:00:00"/>
    <n v="58"/>
    <x v="5"/>
    <x v="1"/>
    <s v="🚹"/>
    <x v="3"/>
    <d v="1980-03-05T00:00:00"/>
    <n v="35"/>
    <x v="6"/>
    <x v="0"/>
    <s v="🚹"/>
    <n v="3"/>
    <x v="1"/>
    <x v="0"/>
    <s v="No aplica"/>
    <s v="Lavado de dinero"/>
    <x v="1"/>
    <x v="0"/>
    <s v="Cerrado"/>
    <s v="No aplica"/>
  </r>
  <r>
    <n v="553"/>
    <x v="72"/>
    <x v="72"/>
    <x v="72"/>
    <x v="6"/>
    <x v="76"/>
    <x v="4"/>
    <x v="10"/>
    <s v="-31,4285567311661, -64,1853198281007"/>
    <d v="1966-07-19T00:00:00"/>
    <n v="49"/>
    <x v="0"/>
    <x v="1"/>
    <s v="🚹"/>
    <x v="1"/>
    <d v="1983-02-21T00:00:00"/>
    <n v="32"/>
    <x v="6"/>
    <x v="1"/>
    <s v="🚺"/>
    <n v="1"/>
    <x v="1"/>
    <x v="0"/>
    <s v="No aplica"/>
    <s v="Vidrios de comercio rotos"/>
    <x v="1"/>
    <x v="0"/>
    <s v="Cerrado"/>
    <s v="No aplica"/>
  </r>
  <r>
    <n v="75"/>
    <x v="73"/>
    <x v="73"/>
    <x v="73"/>
    <x v="3"/>
    <x v="77"/>
    <x v="7"/>
    <x v="6"/>
    <s v="-31,3909520937826, -64,1836424491715"/>
    <d v="1951-06-19T00:00:00"/>
    <n v="73"/>
    <x v="4"/>
    <x v="1"/>
    <s v="🚹"/>
    <x v="4"/>
    <d v="2015-08-06T00:00:00"/>
    <n v="9"/>
    <x v="5"/>
    <x v="0"/>
    <s v="🚹"/>
    <n v="1"/>
    <x v="0"/>
    <x v="0"/>
    <s v="No aplica"/>
    <s v="Evasión fiscal"/>
    <x v="1"/>
    <x v="1"/>
    <s v="Abierto"/>
    <s v="236"/>
  </r>
  <r>
    <n v="76"/>
    <x v="74"/>
    <x v="74"/>
    <x v="74"/>
    <x v="0"/>
    <x v="78"/>
    <x v="11"/>
    <x v="2"/>
    <s v="-31,334500143441, -64,2460773260564"/>
    <d v="1977-08-05T00:00:00"/>
    <n v="42"/>
    <x v="6"/>
    <x v="0"/>
    <s v="🚺"/>
    <x v="0"/>
    <d v="1954-08-16T00:00:00"/>
    <n v="65"/>
    <x v="0"/>
    <x v="0"/>
    <s v="🚹"/>
    <n v="3"/>
    <x v="0"/>
    <x v="0"/>
    <s v="Alevosía"/>
    <s v="No aplica"/>
    <x v="0"/>
    <x v="1"/>
    <s v="Abierto"/>
    <s v="218"/>
  </r>
  <r>
    <n v="82"/>
    <x v="75"/>
    <x v="75"/>
    <x v="75"/>
    <x v="6"/>
    <x v="79"/>
    <x v="0"/>
    <x v="8"/>
    <s v="-31,423018915313, -64,1493562190664"/>
    <d v="2002-10-07T00:00:00"/>
    <n v="21"/>
    <x v="1"/>
    <x v="1"/>
    <s v="🚹"/>
    <x v="0"/>
    <d v="1945-07-16T00:00:00"/>
    <n v="78"/>
    <x v="0"/>
    <x v="1"/>
    <s v="🚺"/>
    <n v="3"/>
    <x v="0"/>
    <x v="0"/>
    <s v="No aplica"/>
    <s v="Contrato fraudulento"/>
    <x v="1"/>
    <x v="0"/>
    <s v="Abierto"/>
    <s v="118"/>
  </r>
  <r>
    <n v="84"/>
    <x v="76"/>
    <x v="76"/>
    <x v="76"/>
    <x v="5"/>
    <x v="80"/>
    <x v="4"/>
    <x v="6"/>
    <s v="-31,3909520937826, -64,1836424491715"/>
    <d v="1971-06-21T00:00:00"/>
    <n v="46"/>
    <x v="0"/>
    <x v="1"/>
    <s v="🚹"/>
    <x v="1"/>
    <d v="2004-09-12T00:00:00"/>
    <n v="13"/>
    <x v="5"/>
    <x v="0"/>
    <s v="🚹"/>
    <n v="2"/>
    <x v="0"/>
    <x v="0"/>
    <s v="No aplica"/>
    <s v="Evasión fiscal"/>
    <x v="1"/>
    <x v="1"/>
    <s v="Abierto"/>
    <s v="181"/>
  </r>
  <r>
    <n v="86"/>
    <x v="77"/>
    <x v="77"/>
    <x v="77"/>
    <x v="3"/>
    <x v="81"/>
    <x v="0"/>
    <x v="11"/>
    <s v="-31,4506257494184, -64,1733054344705"/>
    <d v="1976-04-28T00:00:00"/>
    <n v="42"/>
    <x v="6"/>
    <x v="1"/>
    <s v="🚹"/>
    <x v="2"/>
    <d v="1966-05-05T00:00:00"/>
    <n v="52"/>
    <x v="4"/>
    <x v="1"/>
    <s v="🚺"/>
    <n v="2"/>
    <x v="0"/>
    <x v="3"/>
    <s v="Con ensañamiento"/>
    <s v="No aplica"/>
    <x v="1"/>
    <x v="0"/>
    <s v="Cerrado"/>
    <s v="134"/>
  </r>
  <r>
    <n v="90"/>
    <x v="78"/>
    <x v="78"/>
    <x v="78"/>
    <x v="0"/>
    <x v="82"/>
    <x v="6"/>
    <x v="3"/>
    <s v="-31,4148488101991, -64,1793406489438"/>
    <d v="1991-03-17T00:00:00"/>
    <n v="33"/>
    <x v="3"/>
    <x v="1"/>
    <s v="🚹"/>
    <x v="1"/>
    <d v="1990-01-17T00:00:00"/>
    <n v="34"/>
    <x v="6"/>
    <x v="0"/>
    <s v="🚹"/>
    <n v="3"/>
    <x v="0"/>
    <x v="0"/>
    <s v="No aplica"/>
    <s v="Cuentas falsas"/>
    <x v="0"/>
    <x v="0"/>
    <s v="Abierto"/>
    <s v="264"/>
  </r>
  <r>
    <n v="671"/>
    <x v="79"/>
    <x v="79"/>
    <x v="79"/>
    <x v="2"/>
    <x v="83"/>
    <x v="5"/>
    <x v="2"/>
    <s v="-31,334500143441, -64,2460773260564"/>
    <d v="1971-09-24T00:00:00"/>
    <n v="44"/>
    <x v="6"/>
    <x v="1"/>
    <s v="🚹"/>
    <x v="2"/>
    <d v="1995-05-05T00:00:00"/>
    <n v="20"/>
    <x v="3"/>
    <x v="0"/>
    <s v="🚹"/>
    <n v="1"/>
    <x v="1"/>
    <x v="1"/>
    <s v="No aplica"/>
    <s v="Auto modelo XXX, patente XXX XXX"/>
    <x v="0"/>
    <x v="0"/>
    <s v="Cerrado"/>
    <s v="No aplica"/>
  </r>
  <r>
    <n v="365"/>
    <x v="80"/>
    <x v="80"/>
    <x v="80"/>
    <x v="0"/>
    <x v="84"/>
    <x v="0"/>
    <x v="6"/>
    <s v="-31,3909520937826, -64,1836424491715"/>
    <d v="1956-03-12T00:00:00"/>
    <n v="59"/>
    <x v="5"/>
    <x v="0"/>
    <s v="🚺"/>
    <x v="0"/>
    <d v="1966-11-02T00:00:00"/>
    <n v="49"/>
    <x v="4"/>
    <x v="0"/>
    <s v="🚹"/>
    <n v="1"/>
    <x v="1"/>
    <x v="0"/>
    <s v="No aplica"/>
    <s v="Contrato fraudulento"/>
    <x v="0"/>
    <x v="1"/>
    <s v="Cerrado"/>
    <s v="No aplica"/>
  </r>
  <r>
    <n v="91"/>
    <x v="81"/>
    <x v="81"/>
    <x v="81"/>
    <x v="3"/>
    <x v="85"/>
    <x v="3"/>
    <x v="0"/>
    <s v="-31,4800162965848, -64,2094200976892"/>
    <d v="2003-03-03T00:00:00"/>
    <n v="19"/>
    <x v="1"/>
    <x v="1"/>
    <s v="🚹"/>
    <x v="0"/>
    <d v="1986-08-11T00:00:00"/>
    <n v="36"/>
    <x v="1"/>
    <x v="1"/>
    <s v="🚺"/>
    <n v="2"/>
    <x v="0"/>
    <x v="0"/>
    <s v="No aplica"/>
    <s v="Grafitis en edificios públicos"/>
    <x v="1"/>
    <x v="0"/>
    <s v="En investigación"/>
    <s v="208"/>
  </r>
  <r>
    <n v="93"/>
    <x v="82"/>
    <x v="82"/>
    <x v="82"/>
    <x v="5"/>
    <x v="86"/>
    <x v="11"/>
    <x v="2"/>
    <s v="-31,334500143441, -64,2460773260564"/>
    <d v="2003-03-12T00:00:00"/>
    <n v="14"/>
    <x v="2"/>
    <x v="1"/>
    <s v="🚹"/>
    <x v="1"/>
    <d v="2012-05-12T00:00:00"/>
    <n v="5"/>
    <x v="5"/>
    <x v="0"/>
    <s v="🚹"/>
    <n v="1"/>
    <x v="0"/>
    <x v="0"/>
    <s v="No aplica"/>
    <s v="Contrato fraudulento"/>
    <x v="1"/>
    <x v="0"/>
    <s v="Cerrado"/>
    <s v="129"/>
  </r>
  <r>
    <n v="94"/>
    <x v="83"/>
    <x v="83"/>
    <x v="83"/>
    <x v="1"/>
    <x v="87"/>
    <x v="8"/>
    <x v="10"/>
    <s v="-31,4285567311661, -64,1853198281007"/>
    <d v="1992-12-25T00:00:00"/>
    <n v="30"/>
    <x v="3"/>
    <x v="0"/>
    <s v="🚺"/>
    <x v="3"/>
    <d v="1976-03-01T00:00:00"/>
    <n v="47"/>
    <x v="4"/>
    <x v="0"/>
    <s v="🚹"/>
    <n v="2"/>
    <x v="0"/>
    <x v="0"/>
    <s v="No aplica"/>
    <s v="Estafa bancaria"/>
    <x v="0"/>
    <x v="1"/>
    <s v="Cerrado"/>
    <s v="94"/>
  </r>
  <r>
    <n v="95"/>
    <x v="84"/>
    <x v="84"/>
    <x v="84"/>
    <x v="3"/>
    <x v="88"/>
    <x v="6"/>
    <x v="11"/>
    <s v="-31,4506257494184, -64,1733054344705"/>
    <d v="1973-08-15T00:00:00"/>
    <n v="42"/>
    <x v="6"/>
    <x v="0"/>
    <s v="🚺"/>
    <x v="3"/>
    <d v="1953-09-14T00:00:00"/>
    <n v="62"/>
    <x v="2"/>
    <x v="1"/>
    <s v="🚺"/>
    <n v="1"/>
    <x v="0"/>
    <x v="0"/>
    <s v="Con ensañamiento"/>
    <s v="No aplica"/>
    <x v="1"/>
    <x v="0"/>
    <s v="Cerrado"/>
    <s v="113"/>
  </r>
  <r>
    <n v="199"/>
    <x v="85"/>
    <x v="85"/>
    <x v="85"/>
    <x v="3"/>
    <x v="89"/>
    <x v="4"/>
    <x v="9"/>
    <s v="-31,4076397196409, -64,2020170430678"/>
    <d v="1966-05-02T00:00:00"/>
    <n v="49"/>
    <x v="0"/>
    <x v="1"/>
    <s v="🚹"/>
    <x v="1"/>
    <d v="1951-06-22T00:00:00"/>
    <n v="64"/>
    <x v="2"/>
    <x v="0"/>
    <s v="🚹"/>
    <n v="1"/>
    <x v="1"/>
    <x v="3"/>
    <s v="No aplica"/>
    <s v="Celular, tarjetas bancarias"/>
    <x v="0"/>
    <x v="0"/>
    <s v="Cerrado"/>
    <s v="No aplica"/>
  </r>
  <r>
    <n v="462"/>
    <x v="86"/>
    <x v="86"/>
    <x v="86"/>
    <x v="4"/>
    <x v="90"/>
    <x v="10"/>
    <x v="4"/>
    <s v="-31,3759272890294, -64,2284587792478"/>
    <d v="1991-08-19T00:00:00"/>
    <n v="24"/>
    <x v="1"/>
    <x v="1"/>
    <s v="🚹"/>
    <x v="2"/>
    <d v="2009-07-27T00:00:00"/>
    <n v="6"/>
    <x v="5"/>
    <x v="0"/>
    <s v="🚹"/>
    <n v="2"/>
    <x v="1"/>
    <x v="0"/>
    <s v="Sin agravantes"/>
    <s v="No aplica"/>
    <x v="1"/>
    <x v="0"/>
    <s v="Cerrado"/>
    <s v="No aplica"/>
  </r>
  <r>
    <n v="270"/>
    <x v="87"/>
    <x v="87"/>
    <x v="87"/>
    <x v="1"/>
    <x v="91"/>
    <x v="4"/>
    <x v="9"/>
    <s v="-31,4076397196409, -64,2020170430678"/>
    <d v="2006-08-25T00:00:00"/>
    <n v="9"/>
    <x v="2"/>
    <x v="0"/>
    <s v="🚺"/>
    <x v="1"/>
    <d v="1974-12-01T00:00:00"/>
    <n v="41"/>
    <x v="1"/>
    <x v="0"/>
    <s v="🚹"/>
    <n v="2"/>
    <x v="1"/>
    <x v="0"/>
    <s v="No aplica"/>
    <s v="Lavado de dinero"/>
    <x v="1"/>
    <x v="0"/>
    <s v="En investigación"/>
    <s v="No aplica"/>
  </r>
  <r>
    <n v="738"/>
    <x v="88"/>
    <x v="88"/>
    <x v="88"/>
    <x v="3"/>
    <x v="92"/>
    <x v="7"/>
    <x v="1"/>
    <s v="-31,4129883640337, -64,1681120522587"/>
    <d v="1963-11-13T00:00:00"/>
    <n v="52"/>
    <x v="0"/>
    <x v="1"/>
    <s v="🚹"/>
    <x v="0"/>
    <d v="1968-04-09T00:00:00"/>
    <n v="47"/>
    <x v="4"/>
    <x v="0"/>
    <s v="🚹"/>
    <n v="1"/>
    <x v="1"/>
    <x v="2"/>
    <s v="No aplica"/>
    <s v="Celular, tarjetas bancarias"/>
    <x v="0"/>
    <x v="0"/>
    <s v="Abierto"/>
    <s v="No aplica"/>
  </r>
  <r>
    <n v="97"/>
    <x v="89"/>
    <x v="89"/>
    <x v="89"/>
    <x v="6"/>
    <x v="93"/>
    <x v="6"/>
    <x v="9"/>
    <s v="-31,4076397196409, -64,2020170430678"/>
    <d v="1984-04-24T00:00:00"/>
    <n v="38"/>
    <x v="6"/>
    <x v="1"/>
    <s v="🚹"/>
    <x v="0"/>
    <d v="1948-02-14T00:00:00"/>
    <n v="74"/>
    <x v="0"/>
    <x v="0"/>
    <s v="🚹"/>
    <n v="1"/>
    <x v="0"/>
    <x v="0"/>
    <s v="No aplica"/>
    <s v="Cartera con documentación"/>
    <x v="0"/>
    <x v="0"/>
    <s v="En investigación"/>
    <s v="116"/>
  </r>
  <r>
    <n v="307"/>
    <x v="90"/>
    <x v="90"/>
    <x v="90"/>
    <x v="5"/>
    <x v="94"/>
    <x v="5"/>
    <x v="0"/>
    <s v="-31,4800162965848, -64,2094200976892"/>
    <d v="1990-07-16T00:00:00"/>
    <n v="25"/>
    <x v="1"/>
    <x v="0"/>
    <s v="🚺"/>
    <x v="4"/>
    <d v="2015-08-25T00:00:00"/>
    <n v="0"/>
    <x v="5"/>
    <x v="1"/>
    <s v="🚺"/>
    <n v="2"/>
    <x v="1"/>
    <x v="0"/>
    <s v="No aplica"/>
    <s v="Dinero público desviado"/>
    <x v="1"/>
    <x v="1"/>
    <s v="Abierto"/>
    <s v="No aplica"/>
  </r>
  <r>
    <n v="514"/>
    <x v="90"/>
    <x v="90"/>
    <x v="90"/>
    <x v="5"/>
    <x v="95"/>
    <x v="2"/>
    <x v="6"/>
    <s v="-31,3909520937826, -64,1836424491715"/>
    <d v="1955-03-10T00:00:00"/>
    <n v="60"/>
    <x v="5"/>
    <x v="0"/>
    <s v="🚺"/>
    <x v="1"/>
    <d v="1988-06-05T00:00:00"/>
    <n v="27"/>
    <x v="6"/>
    <x v="1"/>
    <s v="🚺"/>
    <n v="1"/>
    <x v="1"/>
    <x v="0"/>
    <s v="No aplica"/>
    <s v="No aplica"/>
    <x v="1"/>
    <x v="0"/>
    <s v="En investigación"/>
    <s v="No aplica"/>
  </r>
  <r>
    <n v="98"/>
    <x v="91"/>
    <x v="91"/>
    <x v="91"/>
    <x v="0"/>
    <x v="96"/>
    <x v="6"/>
    <x v="9"/>
    <s v="-31,4076397196409, -64,2020170430678"/>
    <d v="1985-02-15T00:00:00"/>
    <n v="30"/>
    <x v="3"/>
    <x v="1"/>
    <s v="🚹"/>
    <x v="1"/>
    <d v="2004-02-01T00:00:00"/>
    <n v="11"/>
    <x v="5"/>
    <x v="1"/>
    <s v="🚺"/>
    <n v="1"/>
    <x v="0"/>
    <x v="0"/>
    <s v="No aplica"/>
    <s v="Pasta base"/>
    <x v="0"/>
    <x v="1"/>
    <s v="En investigación"/>
    <s v="215"/>
  </r>
  <r>
    <n v="101"/>
    <x v="92"/>
    <x v="92"/>
    <x v="92"/>
    <x v="1"/>
    <x v="97"/>
    <x v="5"/>
    <x v="5"/>
    <s v="-31,3477902896523, -64,2644406169297"/>
    <d v="1993-01-28T00:00:00"/>
    <n v="26"/>
    <x v="3"/>
    <x v="1"/>
    <s v="🚹"/>
    <x v="0"/>
    <d v="2001-10-05T00:00:00"/>
    <n v="17"/>
    <x v="5"/>
    <x v="1"/>
    <s v="🚺"/>
    <n v="3"/>
    <x v="0"/>
    <x v="0"/>
    <s v="No aplica"/>
    <s v="5kg de cocaína"/>
    <x v="0"/>
    <x v="1"/>
    <s v="Cerrado"/>
    <s v="62"/>
  </r>
  <r>
    <n v="104"/>
    <x v="93"/>
    <x v="93"/>
    <x v="93"/>
    <x v="3"/>
    <x v="98"/>
    <x v="4"/>
    <x v="5"/>
    <s v="-31,3477902896523, -64,2644406169297"/>
    <d v="1992-01-06T00:00:00"/>
    <n v="24"/>
    <x v="1"/>
    <x v="0"/>
    <s v="🚺"/>
    <x v="0"/>
    <d v="1998-08-01T00:00:00"/>
    <n v="18"/>
    <x v="3"/>
    <x v="1"/>
    <s v="🚺"/>
    <n v="1"/>
    <x v="0"/>
    <x v="0"/>
    <s v="No aplica"/>
    <s v="Contrato fraudulento"/>
    <x v="1"/>
    <x v="0"/>
    <s v="En investigación"/>
    <s v="200"/>
  </r>
  <r>
    <n v="105"/>
    <x v="94"/>
    <x v="94"/>
    <x v="94"/>
    <x v="0"/>
    <x v="99"/>
    <x v="10"/>
    <x v="7"/>
    <s v="-31,4015892433235, -64,160442876477"/>
    <d v="2003-03-12T00:00:00"/>
    <n v="17"/>
    <x v="2"/>
    <x v="1"/>
    <s v="🚹"/>
    <x v="0"/>
    <d v="1973-02-20T00:00:00"/>
    <n v="47"/>
    <x v="4"/>
    <x v="1"/>
    <s v="🚺"/>
    <n v="3"/>
    <x v="0"/>
    <x v="0"/>
    <s v="No aplica"/>
    <s v="Estafa bancaria"/>
    <x v="0"/>
    <x v="0"/>
    <s v="Abierto"/>
    <s v="45"/>
  </r>
  <r>
    <n v="667"/>
    <x v="95"/>
    <x v="95"/>
    <x v="95"/>
    <x v="5"/>
    <x v="100"/>
    <x v="1"/>
    <x v="10"/>
    <s v="-31,4285567311661, -64,1853198281007"/>
    <d v="1979-09-09T00:00:00"/>
    <n v="36"/>
    <x v="6"/>
    <x v="1"/>
    <s v="🚹"/>
    <x v="0"/>
    <d v="2015-09-25T00:00:00"/>
    <n v="0"/>
    <x v="5"/>
    <x v="1"/>
    <s v="🚺"/>
    <n v="1"/>
    <x v="1"/>
    <x v="0"/>
    <s v="No aplica"/>
    <s v="No aplica"/>
    <x v="0"/>
    <x v="0"/>
    <s v="Cerrado"/>
    <s v="No aplica"/>
  </r>
  <r>
    <n v="669"/>
    <x v="96"/>
    <x v="96"/>
    <x v="96"/>
    <x v="1"/>
    <x v="101"/>
    <x v="8"/>
    <x v="6"/>
    <s v="-31,3909520937826, -64,1836424491715"/>
    <d v="1961-12-01T00:00:00"/>
    <n v="54"/>
    <x v="0"/>
    <x v="0"/>
    <s v="🚺"/>
    <x v="4"/>
    <d v="1990-07-14T00:00:00"/>
    <n v="25"/>
    <x v="3"/>
    <x v="0"/>
    <s v="🚹"/>
    <n v="1"/>
    <x v="1"/>
    <x v="0"/>
    <s v="No aplica"/>
    <s v="Cuentas falsas"/>
    <x v="1"/>
    <x v="1"/>
    <s v="Cerrado"/>
    <s v="No aplica"/>
  </r>
  <r>
    <n v="106"/>
    <x v="97"/>
    <x v="97"/>
    <x v="97"/>
    <x v="3"/>
    <x v="102"/>
    <x v="5"/>
    <x v="9"/>
    <s v="-31,4076397196409, -64,2020170430678"/>
    <d v="1971-07-28T00:00:00"/>
    <n v="53"/>
    <x v="0"/>
    <x v="0"/>
    <s v="🚺"/>
    <x v="1"/>
    <d v="1945-10-15T00:00:00"/>
    <n v="79"/>
    <x v="0"/>
    <x v="0"/>
    <s v="🚹"/>
    <n v="1"/>
    <x v="0"/>
    <x v="0"/>
    <s v="No aplica"/>
    <s v="Estafa bancaria"/>
    <x v="0"/>
    <x v="1"/>
    <s v="Cerrado"/>
    <s v="136"/>
  </r>
  <r>
    <n v="107"/>
    <x v="98"/>
    <x v="98"/>
    <x v="98"/>
    <x v="1"/>
    <x v="103"/>
    <x v="1"/>
    <x v="1"/>
    <s v="-31,4129883640337, -64,1681120522587"/>
    <d v="1982-05-12T00:00:00"/>
    <n v="37"/>
    <x v="6"/>
    <x v="0"/>
    <s v="🚺"/>
    <x v="4"/>
    <d v="1957-05-12T00:00:00"/>
    <n v="62"/>
    <x v="2"/>
    <x v="1"/>
    <s v="🚺"/>
    <n v="1"/>
    <x v="0"/>
    <x v="0"/>
    <s v="Por vínculo"/>
    <s v="No aplica"/>
    <x v="1"/>
    <x v="1"/>
    <s v="Cerrado"/>
    <s v="65"/>
  </r>
  <r>
    <n v="604"/>
    <x v="99"/>
    <x v="99"/>
    <x v="99"/>
    <x v="5"/>
    <x v="104"/>
    <x v="3"/>
    <x v="9"/>
    <s v="-31,4076397196409, -64,2020170430678"/>
    <d v="1963-12-22T00:00:00"/>
    <n v="52"/>
    <x v="0"/>
    <x v="1"/>
    <s v="🚹"/>
    <x v="4"/>
    <d v="1991-01-03T00:00:00"/>
    <n v="25"/>
    <x v="3"/>
    <x v="0"/>
    <s v="🚹"/>
    <n v="3"/>
    <x v="1"/>
    <x v="0"/>
    <s v="No aplica"/>
    <s v="Grafitis en edificios públicos"/>
    <x v="0"/>
    <x v="0"/>
    <s v="En investigación"/>
    <s v="No aplica"/>
  </r>
  <r>
    <n v="110"/>
    <x v="100"/>
    <x v="100"/>
    <x v="100"/>
    <x v="0"/>
    <x v="105"/>
    <x v="2"/>
    <x v="9"/>
    <s v="-31,4076397196409, -64,2020170430678"/>
    <d v="1952-06-07T00:00:00"/>
    <n v="71"/>
    <x v="4"/>
    <x v="0"/>
    <s v="🚺"/>
    <x v="4"/>
    <d v="1972-11-09T00:00:00"/>
    <n v="51"/>
    <x v="4"/>
    <x v="0"/>
    <s v="🚹"/>
    <n v="2"/>
    <x v="0"/>
    <x v="0"/>
    <s v="No aplica"/>
    <s v="Pasta base"/>
    <x v="1"/>
    <x v="1"/>
    <s v="Cerrado"/>
    <s v="69"/>
  </r>
  <r>
    <n v="6"/>
    <x v="101"/>
    <x v="101"/>
    <x v="101"/>
    <x v="4"/>
    <x v="106"/>
    <x v="1"/>
    <x v="2"/>
    <s v="-31,334500143441, -64,2460773260564"/>
    <d v="1971-11-08T00:00:00"/>
    <n v="44"/>
    <x v="6"/>
    <x v="0"/>
    <s v="🚺"/>
    <x v="4"/>
    <d v="2007-02-24T00:00:00"/>
    <n v="9"/>
    <x v="5"/>
    <x v="1"/>
    <s v="🚺"/>
    <n v="3"/>
    <x v="1"/>
    <x v="0"/>
    <s v="Con ensañamiento"/>
    <s v="No aplica"/>
    <x v="1"/>
    <x v="0"/>
    <s v="En investigación"/>
    <s v="No aplica"/>
  </r>
  <r>
    <n v="614"/>
    <x v="102"/>
    <x v="102"/>
    <x v="102"/>
    <x v="5"/>
    <x v="107"/>
    <x v="7"/>
    <x v="11"/>
    <s v="-31,4506257494184, -64,1733054344705"/>
    <d v="1991-12-06T00:00:00"/>
    <n v="24"/>
    <x v="1"/>
    <x v="0"/>
    <s v="🚺"/>
    <x v="2"/>
    <d v="1976-08-01T00:00:00"/>
    <n v="39"/>
    <x v="1"/>
    <x v="0"/>
    <s v="🚹"/>
    <n v="2"/>
    <x v="1"/>
    <x v="0"/>
    <s v="No aplica"/>
    <s v="Evasión fiscal"/>
    <x v="1"/>
    <x v="1"/>
    <s v="Cerrado"/>
    <s v="No aplica"/>
  </r>
  <r>
    <n v="217"/>
    <x v="103"/>
    <x v="103"/>
    <x v="103"/>
    <x v="4"/>
    <x v="108"/>
    <x v="5"/>
    <x v="5"/>
    <s v="-31,3477902896523, -64,2644406169297"/>
    <d v="1989-02-09T00:00:00"/>
    <n v="27"/>
    <x v="3"/>
    <x v="1"/>
    <s v="🚹"/>
    <x v="2"/>
    <d v="1950-11-07T00:00:00"/>
    <n v="65"/>
    <x v="0"/>
    <x v="0"/>
    <s v="🚹"/>
    <n v="3"/>
    <x v="1"/>
    <x v="0"/>
    <s v="No aplica"/>
    <s v="Contrato fraudulento"/>
    <x v="1"/>
    <x v="0"/>
    <s v="Abierto"/>
    <s v="No aplica"/>
  </r>
  <r>
    <n v="21"/>
    <x v="104"/>
    <x v="104"/>
    <x v="104"/>
    <x v="1"/>
    <x v="84"/>
    <x v="9"/>
    <x v="4"/>
    <s v="-31,3759272890294, -64,2284587792478"/>
    <d v="1967-10-25T00:00:00"/>
    <n v="48"/>
    <x v="0"/>
    <x v="0"/>
    <s v="🚺"/>
    <x v="4"/>
    <d v="1962-12-14T00:00:00"/>
    <n v="53"/>
    <x v="4"/>
    <x v="0"/>
    <s v="🚹"/>
    <n v="3"/>
    <x v="1"/>
    <x v="0"/>
    <s v="Sin agravantes"/>
    <s v="No aplica"/>
    <x v="1"/>
    <x v="0"/>
    <s v="Cerrado"/>
    <s v="No aplica"/>
  </r>
  <r>
    <n v="809"/>
    <x v="104"/>
    <x v="104"/>
    <x v="104"/>
    <x v="1"/>
    <x v="109"/>
    <x v="7"/>
    <x v="6"/>
    <s v="-31,3909520937826, -64,1836424491715"/>
    <d v="1978-07-10T00:00:00"/>
    <n v="37"/>
    <x v="6"/>
    <x v="0"/>
    <s v="🚺"/>
    <x v="1"/>
    <d v="1994-06-12T00:00:00"/>
    <n v="21"/>
    <x v="3"/>
    <x v="1"/>
    <s v="🚺"/>
    <n v="1"/>
    <x v="1"/>
    <x v="0"/>
    <s v="No aplica"/>
    <s v="Cartera con documentación"/>
    <x v="1"/>
    <x v="1"/>
    <s v="Cerrado"/>
    <s v="No aplica"/>
  </r>
  <r>
    <n v="525"/>
    <x v="105"/>
    <x v="105"/>
    <x v="105"/>
    <x v="1"/>
    <x v="110"/>
    <x v="2"/>
    <x v="5"/>
    <s v="-31,3477902896523, -64,2644406169297"/>
    <d v="1954-12-11T00:00:00"/>
    <n v="61"/>
    <x v="5"/>
    <x v="0"/>
    <s v="🚺"/>
    <x v="4"/>
    <d v="1943-04-08T00:00:00"/>
    <n v="73"/>
    <x v="0"/>
    <x v="1"/>
    <s v="🚺"/>
    <n v="1"/>
    <x v="1"/>
    <x v="0"/>
    <s v="No aplica"/>
    <s v="Evasión fiscal"/>
    <x v="0"/>
    <x v="0"/>
    <s v="Cerrado"/>
    <s v="No aplica"/>
  </r>
  <r>
    <n v="892"/>
    <x v="106"/>
    <x v="106"/>
    <x v="106"/>
    <x v="5"/>
    <x v="111"/>
    <x v="1"/>
    <x v="4"/>
    <s v="-31,3759272890294, -64,2284587792478"/>
    <d v="1994-06-19T00:00:00"/>
    <n v="21"/>
    <x v="1"/>
    <x v="1"/>
    <s v="🚹"/>
    <x v="4"/>
    <d v="1958-09-02T00:00:00"/>
    <n v="57"/>
    <x v="2"/>
    <x v="0"/>
    <s v="🚹"/>
    <n v="2"/>
    <x v="1"/>
    <x v="1"/>
    <s v="Por vínculo"/>
    <s v="No aplica"/>
    <x v="0"/>
    <x v="1"/>
    <s v="Cerrado"/>
    <s v="No aplica"/>
  </r>
  <r>
    <n v="111"/>
    <x v="107"/>
    <x v="107"/>
    <x v="107"/>
    <x v="3"/>
    <x v="112"/>
    <x v="2"/>
    <x v="2"/>
    <s v="-31,334500143441, -64,2460773260564"/>
    <d v="1992-03-28T00:00:00"/>
    <n v="24"/>
    <x v="1"/>
    <x v="0"/>
    <s v="🚺"/>
    <x v="4"/>
    <d v="1969-10-28T00:00:00"/>
    <n v="46"/>
    <x v="4"/>
    <x v="0"/>
    <s v="🚹"/>
    <n v="2"/>
    <x v="0"/>
    <x v="0"/>
    <s v="No aplica"/>
    <s v="Contrato fraudulento"/>
    <x v="1"/>
    <x v="0"/>
    <s v="Abierto"/>
    <s v="75"/>
  </r>
  <r>
    <n v="402"/>
    <x v="108"/>
    <x v="108"/>
    <x v="108"/>
    <x v="3"/>
    <x v="113"/>
    <x v="4"/>
    <x v="9"/>
    <s v="-31,4076397196409, -64,2020170430678"/>
    <d v="1980-01-23T00:00:00"/>
    <n v="36"/>
    <x v="6"/>
    <x v="0"/>
    <s v="🚺"/>
    <x v="2"/>
    <d v="1947-07-27T00:00:00"/>
    <n v="68"/>
    <x v="0"/>
    <x v="1"/>
    <s v="🚺"/>
    <n v="2"/>
    <x v="1"/>
    <x v="0"/>
    <s v="No aplica"/>
    <s v="Dinero público desviado"/>
    <x v="1"/>
    <x v="1"/>
    <s v="Abierto"/>
    <s v="No aplica"/>
  </r>
  <r>
    <n v="112"/>
    <x v="109"/>
    <x v="109"/>
    <x v="109"/>
    <x v="2"/>
    <x v="114"/>
    <x v="9"/>
    <x v="0"/>
    <s v="-31,4800162965848, -64,2094200976892"/>
    <d v="1950-12-17T00:00:00"/>
    <n v="72"/>
    <x v="4"/>
    <x v="1"/>
    <s v="🚹"/>
    <x v="0"/>
    <d v="1950-07-26T00:00:00"/>
    <n v="73"/>
    <x v="0"/>
    <x v="0"/>
    <s v="🚹"/>
    <n v="2"/>
    <x v="0"/>
    <x v="0"/>
    <s v="No aplica"/>
    <s v="No aplica"/>
    <x v="1"/>
    <x v="1"/>
    <s v="Cerrado"/>
    <s v="298"/>
  </r>
  <r>
    <n v="113"/>
    <x v="110"/>
    <x v="110"/>
    <x v="110"/>
    <x v="4"/>
    <x v="115"/>
    <x v="0"/>
    <x v="11"/>
    <s v="-31,4506257494184, -64,1733054344705"/>
    <d v="1960-06-24T00:00:00"/>
    <n v="58"/>
    <x v="5"/>
    <x v="1"/>
    <s v="🚹"/>
    <x v="3"/>
    <d v="2004-06-16T00:00:00"/>
    <n v="14"/>
    <x v="5"/>
    <x v="1"/>
    <s v="🚺"/>
    <n v="2"/>
    <x v="0"/>
    <x v="0"/>
    <s v="No aplica"/>
    <s v="Grafitis en edificios públicos"/>
    <x v="1"/>
    <x v="1"/>
    <s v="Cerrado"/>
    <s v="30"/>
  </r>
  <r>
    <n v="392"/>
    <x v="111"/>
    <x v="111"/>
    <x v="111"/>
    <x v="2"/>
    <x v="116"/>
    <x v="8"/>
    <x v="0"/>
    <s v="-31,4800162965848, -64,2094200976892"/>
    <d v="1962-04-06T00:00:00"/>
    <n v="54"/>
    <x v="0"/>
    <x v="1"/>
    <s v="🚹"/>
    <x v="4"/>
    <d v="1980-12-15T00:00:00"/>
    <n v="35"/>
    <x v="6"/>
    <x v="1"/>
    <s v="🚺"/>
    <n v="1"/>
    <x v="1"/>
    <x v="0"/>
    <s v="No aplica"/>
    <s v="Vidrios de comercio rotos"/>
    <x v="1"/>
    <x v="1"/>
    <s v="Cerrado"/>
    <s v="No aplica"/>
  </r>
  <r>
    <n v="720"/>
    <x v="112"/>
    <x v="112"/>
    <x v="112"/>
    <x v="1"/>
    <x v="52"/>
    <x v="1"/>
    <x v="7"/>
    <s v="-31,4015892433235, -64,160442876477"/>
    <d v="1978-01-18T00:00:00"/>
    <n v="38"/>
    <x v="6"/>
    <x v="0"/>
    <s v="🚺"/>
    <x v="4"/>
    <d v="1977-12-22T00:00:00"/>
    <n v="38"/>
    <x v="1"/>
    <x v="1"/>
    <s v="🚺"/>
    <n v="2"/>
    <x v="1"/>
    <x v="0"/>
    <s v="No aplica"/>
    <s v="Evasión fiscal"/>
    <x v="1"/>
    <x v="0"/>
    <s v="Abierto"/>
    <s v="No aplica"/>
  </r>
  <r>
    <n v="545"/>
    <x v="113"/>
    <x v="113"/>
    <x v="113"/>
    <x v="6"/>
    <x v="117"/>
    <x v="11"/>
    <x v="3"/>
    <s v="-31,4148488101991, -64,1793406489438"/>
    <d v="1983-05-24T00:00:00"/>
    <n v="32"/>
    <x v="3"/>
    <x v="1"/>
    <s v="🚹"/>
    <x v="1"/>
    <d v="1959-09-03T00:00:00"/>
    <n v="56"/>
    <x v="2"/>
    <x v="1"/>
    <s v="🚺"/>
    <n v="1"/>
    <x v="1"/>
    <x v="0"/>
    <s v="Por vínculo"/>
    <s v="No aplica"/>
    <x v="1"/>
    <x v="0"/>
    <s v="Cerrado"/>
    <s v="No aplica"/>
  </r>
  <r>
    <n v="202"/>
    <x v="114"/>
    <x v="114"/>
    <x v="114"/>
    <x v="4"/>
    <x v="118"/>
    <x v="3"/>
    <x v="5"/>
    <s v="-31,3477902896523, -64,2644406169297"/>
    <d v="1999-12-24T00:00:00"/>
    <n v="16"/>
    <x v="2"/>
    <x v="0"/>
    <s v="🚺"/>
    <x v="4"/>
    <d v="1982-05-06T00:00:00"/>
    <n v="34"/>
    <x v="6"/>
    <x v="1"/>
    <s v="🚺"/>
    <n v="2"/>
    <x v="1"/>
    <x v="0"/>
    <s v="No aplica"/>
    <s v="Pasta base"/>
    <x v="1"/>
    <x v="1"/>
    <s v="En investigación"/>
    <s v="No aplica"/>
  </r>
  <r>
    <n v="114"/>
    <x v="115"/>
    <x v="115"/>
    <x v="115"/>
    <x v="4"/>
    <x v="119"/>
    <x v="0"/>
    <x v="7"/>
    <s v="-31,4015892433235, -64,160442876477"/>
    <d v="1995-04-21T00:00:00"/>
    <n v="26"/>
    <x v="3"/>
    <x v="0"/>
    <s v="🚺"/>
    <x v="4"/>
    <d v="1997-01-10T00:00:00"/>
    <n v="24"/>
    <x v="3"/>
    <x v="1"/>
    <s v="🚺"/>
    <n v="2"/>
    <x v="0"/>
    <x v="0"/>
    <s v="No aplica"/>
    <s v="Celular"/>
    <x v="1"/>
    <x v="0"/>
    <s v="Cerrado"/>
    <s v="97"/>
  </r>
  <r>
    <n v="116"/>
    <x v="116"/>
    <x v="116"/>
    <x v="116"/>
    <x v="6"/>
    <x v="120"/>
    <x v="10"/>
    <x v="11"/>
    <s v="-31,4506257494184, -64,1733054344705"/>
    <d v="1995-11-01T00:00:00"/>
    <n v="20"/>
    <x v="1"/>
    <x v="0"/>
    <s v="🚺"/>
    <x v="0"/>
    <d v="1980-08-27T00:00:00"/>
    <n v="36"/>
    <x v="1"/>
    <x v="0"/>
    <s v="🚹"/>
    <n v="3"/>
    <x v="0"/>
    <x v="0"/>
    <s v="No aplica"/>
    <s v="Vidrios de comercio rotos"/>
    <x v="1"/>
    <x v="1"/>
    <s v="Cerrado"/>
    <s v="248"/>
  </r>
  <r>
    <n v="57"/>
    <x v="117"/>
    <x v="117"/>
    <x v="117"/>
    <x v="2"/>
    <x v="89"/>
    <x v="1"/>
    <x v="1"/>
    <s v="-31,4129883640337, -64,1681120522587"/>
    <d v="1965-07-04T00:00:00"/>
    <n v="50"/>
    <x v="0"/>
    <x v="0"/>
    <s v="🚺"/>
    <x v="3"/>
    <d v="1993-08-21T00:00:00"/>
    <n v="22"/>
    <x v="3"/>
    <x v="0"/>
    <s v="🚹"/>
    <n v="1"/>
    <x v="1"/>
    <x v="3"/>
    <s v="Sin agravantes"/>
    <s v="No aplica"/>
    <x v="1"/>
    <x v="1"/>
    <s v="Cerrado"/>
    <s v="No aplica"/>
  </r>
  <r>
    <n v="968"/>
    <x v="118"/>
    <x v="118"/>
    <x v="118"/>
    <x v="4"/>
    <x v="121"/>
    <x v="0"/>
    <x v="4"/>
    <s v="-31,3759272890294, -64,2284587792478"/>
    <d v="1954-06-16T00:00:00"/>
    <n v="62"/>
    <x v="5"/>
    <x v="1"/>
    <s v="🚹"/>
    <x v="0"/>
    <d v="2008-10-21T00:00:00"/>
    <n v="7"/>
    <x v="5"/>
    <x v="0"/>
    <s v="🚹"/>
    <n v="2"/>
    <x v="1"/>
    <x v="0"/>
    <s v="No aplica"/>
    <s v="Vidrios de comercio rotos"/>
    <x v="0"/>
    <x v="0"/>
    <s v="Abierto"/>
    <s v="No aplica"/>
  </r>
  <r>
    <n v="123"/>
    <x v="119"/>
    <x v="119"/>
    <x v="119"/>
    <x v="3"/>
    <x v="122"/>
    <x v="2"/>
    <x v="6"/>
    <s v="-31,3909520937826, -64,1836424491715"/>
    <d v="1955-02-11T00:00:00"/>
    <n v="63"/>
    <x v="5"/>
    <x v="1"/>
    <s v="🚹"/>
    <x v="0"/>
    <d v="1962-11-14T00:00:00"/>
    <n v="56"/>
    <x v="2"/>
    <x v="1"/>
    <s v="🚺"/>
    <n v="2"/>
    <x v="0"/>
    <x v="4"/>
    <s v="Por vínculo"/>
    <s v="No aplica"/>
    <x v="1"/>
    <x v="0"/>
    <s v="Cerrado"/>
    <s v="47"/>
  </r>
  <r>
    <n v="126"/>
    <x v="120"/>
    <x v="120"/>
    <x v="120"/>
    <x v="2"/>
    <x v="123"/>
    <x v="10"/>
    <x v="7"/>
    <s v="-31,4015892433235, -64,160442876477"/>
    <d v="1975-10-22T00:00:00"/>
    <n v="49"/>
    <x v="0"/>
    <x v="1"/>
    <s v="🚹"/>
    <x v="3"/>
    <d v="1967-06-03T00:00:00"/>
    <n v="57"/>
    <x v="2"/>
    <x v="0"/>
    <s v="🚹"/>
    <n v="3"/>
    <x v="0"/>
    <x v="0"/>
    <s v="No aplica"/>
    <s v="Vidrios de comercio rotos"/>
    <x v="0"/>
    <x v="1"/>
    <s v="Abierto"/>
    <s v="222"/>
  </r>
  <r>
    <n v="267"/>
    <x v="121"/>
    <x v="121"/>
    <x v="121"/>
    <x v="2"/>
    <x v="124"/>
    <x v="8"/>
    <x v="7"/>
    <s v="-31,4015892433235, -64,160442876477"/>
    <d v="1970-06-02T00:00:00"/>
    <n v="46"/>
    <x v="0"/>
    <x v="1"/>
    <s v="🚹"/>
    <x v="2"/>
    <d v="1974-08-19T00:00:00"/>
    <n v="41"/>
    <x v="1"/>
    <x v="1"/>
    <s v="🚺"/>
    <n v="3"/>
    <x v="1"/>
    <x v="0"/>
    <s v="No aplica"/>
    <s v="Estafa bancaria"/>
    <x v="1"/>
    <x v="0"/>
    <s v="Abierto"/>
    <s v="No aplica"/>
  </r>
  <r>
    <n v="128"/>
    <x v="122"/>
    <x v="122"/>
    <x v="122"/>
    <x v="5"/>
    <x v="125"/>
    <x v="7"/>
    <x v="2"/>
    <s v="-31,334500143441, -64,2460773260564"/>
    <d v="1994-03-08T00:00:00"/>
    <n v="25"/>
    <x v="1"/>
    <x v="1"/>
    <s v="🚹"/>
    <x v="0"/>
    <d v="1945-04-23T00:00:00"/>
    <n v="74"/>
    <x v="0"/>
    <x v="0"/>
    <s v="🚹"/>
    <n v="1"/>
    <x v="0"/>
    <x v="0"/>
    <s v="No aplica"/>
    <s v="Bicicleta"/>
    <x v="0"/>
    <x v="0"/>
    <s v="Abierto"/>
    <s v="187"/>
  </r>
  <r>
    <n v="197"/>
    <x v="123"/>
    <x v="123"/>
    <x v="123"/>
    <x v="1"/>
    <x v="126"/>
    <x v="4"/>
    <x v="11"/>
    <s v="-31,4506257494184, -64,1733054344705"/>
    <d v="1969-11-22T00:00:00"/>
    <n v="46"/>
    <x v="0"/>
    <x v="1"/>
    <s v="🚹"/>
    <x v="0"/>
    <d v="1994-12-04T00:00:00"/>
    <n v="21"/>
    <x v="3"/>
    <x v="0"/>
    <s v="🚹"/>
    <n v="1"/>
    <x v="1"/>
    <x v="0"/>
    <s v="No aplica"/>
    <s v="Grafitis en edificios públicos"/>
    <x v="1"/>
    <x v="1"/>
    <s v="Cerrado"/>
    <s v="No aplica"/>
  </r>
  <r>
    <n v="130"/>
    <x v="124"/>
    <x v="124"/>
    <x v="124"/>
    <x v="0"/>
    <x v="55"/>
    <x v="4"/>
    <x v="2"/>
    <s v="-31,334500143441, -64,2460773260564"/>
    <d v="1990-05-03T00:00:00"/>
    <n v="27"/>
    <x v="3"/>
    <x v="0"/>
    <s v="🚺"/>
    <x v="4"/>
    <d v="1946-08-22T00:00:00"/>
    <n v="71"/>
    <x v="0"/>
    <x v="1"/>
    <s v="🚺"/>
    <n v="2"/>
    <x v="0"/>
    <x v="0"/>
    <s v="No aplica"/>
    <s v="Ropa de marca"/>
    <x v="0"/>
    <x v="1"/>
    <s v="Abierto"/>
    <s v="73"/>
  </r>
  <r>
    <n v="672"/>
    <x v="125"/>
    <x v="125"/>
    <x v="125"/>
    <x v="6"/>
    <x v="127"/>
    <x v="9"/>
    <x v="10"/>
    <s v="-31,4285567311661, -64,1853198281007"/>
    <d v="1980-09-11T00:00:00"/>
    <n v="35"/>
    <x v="3"/>
    <x v="1"/>
    <s v="🚹"/>
    <x v="2"/>
    <d v="2007-03-15T00:00:00"/>
    <n v="9"/>
    <x v="5"/>
    <x v="1"/>
    <s v="🚺"/>
    <n v="2"/>
    <x v="1"/>
    <x v="2"/>
    <s v="No aplica"/>
    <s v="Celular, tarjetas bancarias"/>
    <x v="1"/>
    <x v="1"/>
    <s v="Abierto"/>
    <s v="No aplica"/>
  </r>
  <r>
    <n v="132"/>
    <x v="126"/>
    <x v="126"/>
    <x v="126"/>
    <x v="1"/>
    <x v="128"/>
    <x v="11"/>
    <x v="10"/>
    <s v="-31,4285567311661, -64,1853198281007"/>
    <d v="1978-03-06T00:00:00"/>
    <n v="43"/>
    <x v="6"/>
    <x v="0"/>
    <s v="🚺"/>
    <x v="4"/>
    <d v="2001-04-12T00:00:00"/>
    <n v="20"/>
    <x v="3"/>
    <x v="0"/>
    <s v="🚹"/>
    <n v="2"/>
    <x v="0"/>
    <x v="0"/>
    <s v="No aplica"/>
    <s v="Evasión fiscal"/>
    <x v="0"/>
    <x v="0"/>
    <s v="Cerrado"/>
    <s v="228"/>
  </r>
  <r>
    <n v="133"/>
    <x v="127"/>
    <x v="127"/>
    <x v="127"/>
    <x v="1"/>
    <x v="129"/>
    <x v="11"/>
    <x v="9"/>
    <s v="-31,4076397196409, -64,2020170430678"/>
    <d v="1957-06-12T00:00:00"/>
    <n v="60"/>
    <x v="5"/>
    <x v="1"/>
    <s v="🚹"/>
    <x v="2"/>
    <d v="1963-06-28T00:00:00"/>
    <n v="54"/>
    <x v="4"/>
    <x v="0"/>
    <s v="🚹"/>
    <n v="1"/>
    <x v="0"/>
    <x v="2"/>
    <s v="Alevosía"/>
    <s v="No aplica"/>
    <x v="1"/>
    <x v="0"/>
    <s v="Abierto"/>
    <s v="33"/>
  </r>
  <r>
    <n v="134"/>
    <x v="128"/>
    <x v="128"/>
    <x v="128"/>
    <x v="6"/>
    <x v="130"/>
    <x v="1"/>
    <x v="11"/>
    <s v="-31,4506257494184, -64,1733054344705"/>
    <d v="1980-11-03T00:00:00"/>
    <n v="39"/>
    <x v="6"/>
    <x v="0"/>
    <s v="🚺"/>
    <x v="3"/>
    <d v="1957-11-13T00:00:00"/>
    <n v="62"/>
    <x v="2"/>
    <x v="1"/>
    <s v="🚺"/>
    <n v="2"/>
    <x v="0"/>
    <x v="3"/>
    <s v="Por vínculo"/>
    <s v="No aplica"/>
    <x v="0"/>
    <x v="0"/>
    <s v="Cerrado"/>
    <s v="130"/>
  </r>
  <r>
    <n v="781"/>
    <x v="129"/>
    <x v="129"/>
    <x v="129"/>
    <x v="3"/>
    <x v="131"/>
    <x v="11"/>
    <x v="5"/>
    <s v="-31,3477902896523, -64,2644406169297"/>
    <d v="1975-01-06T00:00:00"/>
    <n v="41"/>
    <x v="6"/>
    <x v="1"/>
    <s v="🚹"/>
    <x v="3"/>
    <d v="1956-09-11T00:00:00"/>
    <n v="59"/>
    <x v="2"/>
    <x v="0"/>
    <s v="🚹"/>
    <n v="2"/>
    <x v="1"/>
    <x v="4"/>
    <s v="No aplica"/>
    <s v="Billetera con $15,000 ARG"/>
    <x v="1"/>
    <x v="0"/>
    <s v="En investigación"/>
    <s v="No aplica"/>
  </r>
  <r>
    <n v="135"/>
    <x v="130"/>
    <x v="130"/>
    <x v="130"/>
    <x v="5"/>
    <x v="132"/>
    <x v="11"/>
    <x v="2"/>
    <s v="-31,334500143441, -64,2460773260564"/>
    <d v="1982-06-21T00:00:00"/>
    <n v="34"/>
    <x v="3"/>
    <x v="1"/>
    <s v="🚹"/>
    <x v="0"/>
    <d v="2008-10-13T00:00:00"/>
    <n v="7"/>
    <x v="5"/>
    <x v="1"/>
    <s v="🚺"/>
    <n v="3"/>
    <x v="0"/>
    <x v="0"/>
    <s v="No aplica"/>
    <s v="Vidrios de comercio rotos"/>
    <x v="1"/>
    <x v="0"/>
    <s v="Cerrado"/>
    <s v="244"/>
  </r>
  <r>
    <n v="919"/>
    <x v="131"/>
    <x v="131"/>
    <x v="131"/>
    <x v="3"/>
    <x v="133"/>
    <x v="4"/>
    <x v="3"/>
    <s v="-31,4148488101991, -64,1793406489438"/>
    <d v="1997-07-17T00:00:00"/>
    <n v="18"/>
    <x v="1"/>
    <x v="0"/>
    <s v="🚺"/>
    <x v="1"/>
    <d v="1942-09-08T00:00:00"/>
    <n v="73"/>
    <x v="0"/>
    <x v="0"/>
    <s v="🚹"/>
    <n v="3"/>
    <x v="1"/>
    <x v="3"/>
    <s v="No aplica"/>
    <s v="Celular, tarjetas bancarias"/>
    <x v="1"/>
    <x v="1"/>
    <s v="Abierto"/>
    <s v="No aplica"/>
  </r>
  <r>
    <n v="683"/>
    <x v="132"/>
    <x v="132"/>
    <x v="132"/>
    <x v="4"/>
    <x v="134"/>
    <x v="7"/>
    <x v="1"/>
    <s v="-31,4129883640337, -64,1681120522587"/>
    <d v="1968-01-25T00:00:00"/>
    <n v="48"/>
    <x v="0"/>
    <x v="1"/>
    <s v="🚹"/>
    <x v="4"/>
    <d v="1954-08-26T00:00:00"/>
    <n v="61"/>
    <x v="2"/>
    <x v="1"/>
    <s v="🚺"/>
    <n v="1"/>
    <x v="1"/>
    <x v="2"/>
    <s v="No aplica"/>
    <s v="Celular, tarjetas bancarias"/>
    <x v="0"/>
    <x v="0"/>
    <s v="Abierto"/>
    <s v="No aplica"/>
  </r>
  <r>
    <n v="137"/>
    <x v="133"/>
    <x v="133"/>
    <x v="133"/>
    <x v="4"/>
    <x v="135"/>
    <x v="1"/>
    <x v="4"/>
    <s v="-31,3759272890294, -64,2284587792478"/>
    <d v="1986-11-24T00:00:00"/>
    <n v="35"/>
    <x v="3"/>
    <x v="0"/>
    <s v="🚺"/>
    <x v="4"/>
    <d v="1991-10-05T00:00:00"/>
    <n v="31"/>
    <x v="6"/>
    <x v="0"/>
    <s v="🚹"/>
    <n v="2"/>
    <x v="0"/>
    <x v="0"/>
    <s v="No aplica"/>
    <s v="Grafitis en edificios públicos"/>
    <x v="0"/>
    <x v="0"/>
    <s v="Cerrado"/>
    <s v="86"/>
  </r>
  <r>
    <n v="138"/>
    <x v="134"/>
    <x v="134"/>
    <x v="134"/>
    <x v="1"/>
    <x v="136"/>
    <x v="3"/>
    <x v="11"/>
    <s v="-31,4506257494184, -64,1733054344705"/>
    <d v="1965-08-15T00:00:00"/>
    <n v="52"/>
    <x v="0"/>
    <x v="1"/>
    <s v="🚹"/>
    <x v="4"/>
    <d v="1946-02-13T00:00:00"/>
    <n v="72"/>
    <x v="0"/>
    <x v="0"/>
    <s v="🚹"/>
    <n v="2"/>
    <x v="0"/>
    <x v="0"/>
    <s v="Por vínculo"/>
    <s v="No aplica"/>
    <x v="1"/>
    <x v="1"/>
    <s v="En investigación"/>
    <s v="153"/>
  </r>
  <r>
    <n v="586"/>
    <x v="135"/>
    <x v="135"/>
    <x v="135"/>
    <x v="1"/>
    <x v="137"/>
    <x v="3"/>
    <x v="1"/>
    <s v="-31,4129883640337, -64,1681120522587"/>
    <d v="1994-06-22T00:00:00"/>
    <n v="22"/>
    <x v="1"/>
    <x v="0"/>
    <s v="🚺"/>
    <x v="2"/>
    <d v="1944-02-27T00:00:00"/>
    <n v="72"/>
    <x v="0"/>
    <x v="0"/>
    <s v="🚹"/>
    <n v="2"/>
    <x v="1"/>
    <x v="0"/>
    <s v="No aplica"/>
    <s v="5kg de cocaína"/>
    <x v="1"/>
    <x v="1"/>
    <s v="En investigación"/>
    <s v="No aplica"/>
  </r>
  <r>
    <n v="140"/>
    <x v="136"/>
    <x v="136"/>
    <x v="136"/>
    <x v="3"/>
    <x v="138"/>
    <x v="0"/>
    <x v="8"/>
    <s v="-31,423018915313, -64,1493562190664"/>
    <d v="1964-05-17T00:00:00"/>
    <n v="60"/>
    <x v="5"/>
    <x v="1"/>
    <s v="🚹"/>
    <x v="2"/>
    <d v="2006-03-03T00:00:00"/>
    <n v="18"/>
    <x v="3"/>
    <x v="1"/>
    <s v="🚺"/>
    <n v="1"/>
    <x v="0"/>
    <x v="0"/>
    <s v="No aplica"/>
    <s v="5kg de cocaína"/>
    <x v="1"/>
    <x v="1"/>
    <s v="Abierto"/>
    <s v="23"/>
  </r>
  <r>
    <n v="141"/>
    <x v="137"/>
    <x v="137"/>
    <x v="137"/>
    <x v="2"/>
    <x v="139"/>
    <x v="5"/>
    <x v="0"/>
    <s v="-31,4800162965848, -64,2094200976892"/>
    <d v="1980-07-05T00:00:00"/>
    <n v="42"/>
    <x v="6"/>
    <x v="1"/>
    <s v="🚹"/>
    <x v="4"/>
    <d v="1949-05-02T00:00:00"/>
    <n v="74"/>
    <x v="0"/>
    <x v="0"/>
    <s v="🚹"/>
    <n v="1"/>
    <x v="0"/>
    <x v="0"/>
    <s v="No aplica"/>
    <s v="No aplica"/>
    <x v="1"/>
    <x v="0"/>
    <s v="Abierto"/>
    <s v="256"/>
  </r>
  <r>
    <n v="142"/>
    <x v="138"/>
    <x v="138"/>
    <x v="138"/>
    <x v="6"/>
    <x v="140"/>
    <x v="7"/>
    <x v="5"/>
    <s v="-31,3477902896523, -64,2644406169297"/>
    <d v="1992-01-02T00:00:00"/>
    <n v="24"/>
    <x v="1"/>
    <x v="1"/>
    <s v="🚹"/>
    <x v="0"/>
    <d v="1978-10-08T00:00:00"/>
    <n v="37"/>
    <x v="1"/>
    <x v="1"/>
    <s v="🚺"/>
    <n v="2"/>
    <x v="0"/>
    <x v="0"/>
    <s v="No aplica"/>
    <s v="No aplica"/>
    <x v="1"/>
    <x v="0"/>
    <s v="Cerrado"/>
    <s v="119"/>
  </r>
  <r>
    <n v="690"/>
    <x v="139"/>
    <x v="139"/>
    <x v="139"/>
    <x v="0"/>
    <x v="141"/>
    <x v="5"/>
    <x v="7"/>
    <s v="-31,4015892433235, -64,160442876477"/>
    <d v="1996-04-01T00:00:00"/>
    <n v="20"/>
    <x v="1"/>
    <x v="0"/>
    <s v="🚺"/>
    <x v="2"/>
    <d v="1986-05-25T00:00:00"/>
    <n v="30"/>
    <x v="6"/>
    <x v="0"/>
    <s v="🚹"/>
    <n v="3"/>
    <x v="1"/>
    <x v="1"/>
    <s v="No aplica"/>
    <s v="Laptop marca HP"/>
    <x v="0"/>
    <x v="0"/>
    <s v="Abierto"/>
    <s v="No aplica"/>
  </r>
  <r>
    <n v="143"/>
    <x v="140"/>
    <x v="140"/>
    <x v="140"/>
    <x v="5"/>
    <x v="142"/>
    <x v="9"/>
    <x v="1"/>
    <s v="-31,4129883640337, -64,1681120522587"/>
    <d v="1978-03-12T00:00:00"/>
    <n v="41"/>
    <x v="6"/>
    <x v="1"/>
    <s v="🚹"/>
    <x v="4"/>
    <d v="2009-12-14T00:00:00"/>
    <n v="9"/>
    <x v="5"/>
    <x v="1"/>
    <s v="🚺"/>
    <n v="3"/>
    <x v="0"/>
    <x v="0"/>
    <s v="No aplica"/>
    <s v="No aplica"/>
    <x v="1"/>
    <x v="1"/>
    <s v="Cerrado"/>
    <s v="108"/>
  </r>
  <r>
    <n v="684"/>
    <x v="141"/>
    <x v="141"/>
    <x v="141"/>
    <x v="4"/>
    <x v="143"/>
    <x v="0"/>
    <x v="5"/>
    <s v="-31,3477902896523, -64,2644406169297"/>
    <d v="1990-08-28T00:00:00"/>
    <n v="26"/>
    <x v="3"/>
    <x v="0"/>
    <s v="🚺"/>
    <x v="2"/>
    <d v="1963-06-17T00:00:00"/>
    <n v="53"/>
    <x v="4"/>
    <x v="0"/>
    <s v="🚹"/>
    <n v="1"/>
    <x v="1"/>
    <x v="0"/>
    <s v="No aplica"/>
    <s v="No aplica"/>
    <x v="0"/>
    <x v="1"/>
    <s v="Cerrado"/>
    <s v="No aplica"/>
  </r>
  <r>
    <n v="144"/>
    <x v="142"/>
    <x v="142"/>
    <x v="142"/>
    <x v="5"/>
    <x v="144"/>
    <x v="3"/>
    <x v="1"/>
    <s v="-31,4129883640337, -64,1681120522587"/>
    <d v="2004-05-28T00:00:00"/>
    <n v="16"/>
    <x v="2"/>
    <x v="0"/>
    <s v="🚺"/>
    <x v="0"/>
    <d v="2008-03-01T00:00:00"/>
    <n v="13"/>
    <x v="5"/>
    <x v="0"/>
    <s v="🚹"/>
    <n v="1"/>
    <x v="0"/>
    <x v="0"/>
    <s v="Por vínculo"/>
    <s v="No aplica"/>
    <x v="1"/>
    <x v="1"/>
    <s v="Cerrado"/>
    <s v="20"/>
  </r>
  <r>
    <n v="145"/>
    <x v="143"/>
    <x v="143"/>
    <x v="143"/>
    <x v="4"/>
    <x v="145"/>
    <x v="6"/>
    <x v="6"/>
    <s v="-31,3909520937826, -64,1836424491715"/>
    <d v="1987-12-12T00:00:00"/>
    <n v="34"/>
    <x v="3"/>
    <x v="1"/>
    <s v="🚹"/>
    <x v="3"/>
    <d v="1989-10-06T00:00:00"/>
    <n v="32"/>
    <x v="6"/>
    <x v="0"/>
    <s v="🚹"/>
    <n v="1"/>
    <x v="0"/>
    <x v="0"/>
    <s v="No aplica"/>
    <s v="Grafitis en edificios públicos"/>
    <x v="0"/>
    <x v="0"/>
    <s v="Abierto"/>
    <s v="175"/>
  </r>
  <r>
    <n v="148"/>
    <x v="144"/>
    <x v="144"/>
    <x v="144"/>
    <x v="6"/>
    <x v="146"/>
    <x v="6"/>
    <x v="7"/>
    <s v="-31,4015892433235, -64,160442876477"/>
    <d v="1972-06-20T00:00:00"/>
    <n v="51"/>
    <x v="0"/>
    <x v="0"/>
    <s v="🚺"/>
    <x v="1"/>
    <d v="2007-10-18T00:00:00"/>
    <n v="16"/>
    <x v="5"/>
    <x v="1"/>
    <s v="🚺"/>
    <n v="2"/>
    <x v="0"/>
    <x v="0"/>
    <s v="No aplica"/>
    <s v="No aplica"/>
    <x v="1"/>
    <x v="0"/>
    <s v="Abierto"/>
    <s v="151"/>
  </r>
  <r>
    <n v="735"/>
    <x v="145"/>
    <x v="145"/>
    <x v="145"/>
    <x v="3"/>
    <x v="147"/>
    <x v="2"/>
    <x v="5"/>
    <s v="-31,3477902896523, -64,2644406169297"/>
    <d v="1950-03-09T00:00:00"/>
    <n v="66"/>
    <x v="4"/>
    <x v="1"/>
    <s v="🚹"/>
    <x v="3"/>
    <d v="1963-06-19T00:00:00"/>
    <n v="53"/>
    <x v="4"/>
    <x v="0"/>
    <s v="🚹"/>
    <n v="2"/>
    <x v="1"/>
    <x v="0"/>
    <s v="No aplica"/>
    <s v="Estafa bancaria"/>
    <x v="1"/>
    <x v="0"/>
    <s v="Cerrado"/>
    <s v="No aplica"/>
  </r>
  <r>
    <n v="150"/>
    <x v="146"/>
    <x v="146"/>
    <x v="146"/>
    <x v="1"/>
    <x v="43"/>
    <x v="5"/>
    <x v="2"/>
    <s v="-31,334500143441, -64,2460773260564"/>
    <d v="1967-12-27T00:00:00"/>
    <n v="49"/>
    <x v="0"/>
    <x v="0"/>
    <s v="🚺"/>
    <x v="2"/>
    <d v="2013-07-21T00:00:00"/>
    <n v="3"/>
    <x v="5"/>
    <x v="1"/>
    <s v="🚺"/>
    <n v="2"/>
    <x v="0"/>
    <x v="0"/>
    <s v="No aplica"/>
    <s v="Contrato fraudulento"/>
    <x v="1"/>
    <x v="1"/>
    <s v="Cerrado"/>
    <s v="26"/>
  </r>
  <r>
    <n v="160"/>
    <x v="147"/>
    <x v="147"/>
    <x v="147"/>
    <x v="4"/>
    <x v="148"/>
    <x v="0"/>
    <x v="2"/>
    <s v="-31,334500143441, -64,2460773260564"/>
    <d v="1997-10-05T00:00:00"/>
    <n v="18"/>
    <x v="1"/>
    <x v="0"/>
    <s v="🚺"/>
    <x v="2"/>
    <d v="2014-11-25T00:00:00"/>
    <n v="1"/>
    <x v="5"/>
    <x v="1"/>
    <s v="🚺"/>
    <n v="1"/>
    <x v="1"/>
    <x v="0"/>
    <s v="No aplica"/>
    <s v="Grafitis en edificios públicos"/>
    <x v="1"/>
    <x v="0"/>
    <s v="Abierto"/>
    <s v="No aplica"/>
  </r>
  <r>
    <n v="151"/>
    <x v="148"/>
    <x v="148"/>
    <x v="148"/>
    <x v="2"/>
    <x v="149"/>
    <x v="4"/>
    <x v="3"/>
    <s v="-31,4148488101991, -64,1793406489438"/>
    <d v="2001-12-19T00:00:00"/>
    <n v="17"/>
    <x v="2"/>
    <x v="0"/>
    <s v="🚺"/>
    <x v="2"/>
    <d v="1959-06-25T00:00:00"/>
    <n v="60"/>
    <x v="2"/>
    <x v="0"/>
    <s v="🚹"/>
    <n v="1"/>
    <x v="0"/>
    <x v="0"/>
    <s v="No aplica"/>
    <s v="No aplica"/>
    <x v="1"/>
    <x v="0"/>
    <s v="Cerrado"/>
    <s v="74"/>
  </r>
  <r>
    <n v="726"/>
    <x v="149"/>
    <x v="149"/>
    <x v="149"/>
    <x v="4"/>
    <x v="150"/>
    <x v="2"/>
    <x v="0"/>
    <s v="-31,4800162965848, -64,2094200976892"/>
    <d v="1958-02-28T00:00:00"/>
    <n v="58"/>
    <x v="5"/>
    <x v="0"/>
    <s v="🚺"/>
    <x v="3"/>
    <d v="1995-05-21T00:00:00"/>
    <n v="21"/>
    <x v="3"/>
    <x v="0"/>
    <s v="🚹"/>
    <n v="2"/>
    <x v="1"/>
    <x v="0"/>
    <s v="No aplica"/>
    <s v="Estafa bancaria"/>
    <x v="0"/>
    <x v="0"/>
    <s v="En investigación"/>
    <s v="No aplica"/>
  </r>
  <r>
    <n v="417"/>
    <x v="150"/>
    <x v="150"/>
    <x v="150"/>
    <x v="6"/>
    <x v="151"/>
    <x v="0"/>
    <x v="2"/>
    <s v="-31,334500143441, -64,2460773260564"/>
    <d v="2006-06-02T00:00:00"/>
    <n v="10"/>
    <x v="2"/>
    <x v="0"/>
    <s v="🚺"/>
    <x v="1"/>
    <d v="1960-07-21T00:00:00"/>
    <n v="56"/>
    <x v="2"/>
    <x v="0"/>
    <s v="🚹"/>
    <n v="3"/>
    <x v="1"/>
    <x v="0"/>
    <s v="No aplica"/>
    <s v="No aplica"/>
    <x v="1"/>
    <x v="0"/>
    <s v="Abierto"/>
    <s v="No aplica"/>
  </r>
  <r>
    <n v="486"/>
    <x v="151"/>
    <x v="151"/>
    <x v="151"/>
    <x v="0"/>
    <x v="152"/>
    <x v="11"/>
    <x v="3"/>
    <s v="-31,4148488101991, -64,1793406489438"/>
    <d v="1983-09-19T00:00:00"/>
    <n v="33"/>
    <x v="3"/>
    <x v="0"/>
    <s v="🚺"/>
    <x v="0"/>
    <d v="1982-10-04T00:00:00"/>
    <n v="34"/>
    <x v="6"/>
    <x v="1"/>
    <s v="🚺"/>
    <n v="2"/>
    <x v="1"/>
    <x v="0"/>
    <s v="No aplica"/>
    <s v="Contrato fraudulento"/>
    <x v="1"/>
    <x v="0"/>
    <s v="Abierto"/>
    <s v="No aplica"/>
  </r>
  <r>
    <n v="266"/>
    <x v="152"/>
    <x v="152"/>
    <x v="152"/>
    <x v="6"/>
    <x v="153"/>
    <x v="1"/>
    <x v="7"/>
    <s v="-31,4015892433235, -64,160442876477"/>
    <d v="1980-10-02T00:00:00"/>
    <n v="36"/>
    <x v="6"/>
    <x v="0"/>
    <s v="🚺"/>
    <x v="4"/>
    <d v="1957-10-16T00:00:00"/>
    <n v="59"/>
    <x v="2"/>
    <x v="1"/>
    <s v="🚺"/>
    <n v="1"/>
    <x v="1"/>
    <x v="0"/>
    <s v="No aplica"/>
    <s v="No aplica"/>
    <x v="1"/>
    <x v="1"/>
    <s v="Cerrado"/>
    <s v="No aplica"/>
  </r>
  <r>
    <n v="189"/>
    <x v="153"/>
    <x v="153"/>
    <x v="153"/>
    <x v="2"/>
    <x v="154"/>
    <x v="4"/>
    <x v="4"/>
    <s v="-31,3759272890294, -64,2284587792478"/>
    <d v="1961-02-18T00:00:00"/>
    <n v="55"/>
    <x v="0"/>
    <x v="1"/>
    <s v="🚹"/>
    <x v="1"/>
    <d v="1951-01-20T00:00:00"/>
    <n v="65"/>
    <x v="0"/>
    <x v="1"/>
    <s v="🚺"/>
    <n v="1"/>
    <x v="1"/>
    <x v="1"/>
    <s v="No aplica"/>
    <s v="Laptop marca HP"/>
    <x v="1"/>
    <x v="0"/>
    <s v="En investigación"/>
    <s v="No aplica"/>
  </r>
  <r>
    <n v="153"/>
    <x v="154"/>
    <x v="154"/>
    <x v="154"/>
    <x v="4"/>
    <x v="155"/>
    <x v="2"/>
    <x v="6"/>
    <s v="-31,3909520937826, -64,1836424491715"/>
    <d v="1959-04-22T00:00:00"/>
    <n v="61"/>
    <x v="5"/>
    <x v="1"/>
    <s v="🚹"/>
    <x v="4"/>
    <d v="1970-10-04T00:00:00"/>
    <n v="49"/>
    <x v="4"/>
    <x v="0"/>
    <s v="🚹"/>
    <n v="1"/>
    <x v="0"/>
    <x v="4"/>
    <s v="Sin agravantes"/>
    <s v="No aplica"/>
    <x v="0"/>
    <x v="0"/>
    <s v="Abierto"/>
    <s v="215"/>
  </r>
  <r>
    <n v="156"/>
    <x v="155"/>
    <x v="155"/>
    <x v="155"/>
    <x v="4"/>
    <x v="156"/>
    <x v="8"/>
    <x v="6"/>
    <s v="-31,3909520937826, -64,1836424491715"/>
    <d v="2005-07-03T00:00:00"/>
    <n v="18"/>
    <x v="1"/>
    <x v="0"/>
    <s v="🚺"/>
    <x v="0"/>
    <d v="1987-01-18T00:00:00"/>
    <n v="36"/>
    <x v="1"/>
    <x v="1"/>
    <s v="🚺"/>
    <n v="1"/>
    <x v="0"/>
    <x v="0"/>
    <s v="No aplica"/>
    <s v="Celular"/>
    <x v="1"/>
    <x v="0"/>
    <s v="Cerrado"/>
    <s v="15"/>
  </r>
  <r>
    <n v="157"/>
    <x v="156"/>
    <x v="156"/>
    <x v="156"/>
    <x v="4"/>
    <x v="157"/>
    <x v="4"/>
    <x v="6"/>
    <s v="-31,3909520937826, -64,1836424491715"/>
    <d v="1994-05-17T00:00:00"/>
    <n v="28"/>
    <x v="3"/>
    <x v="0"/>
    <s v="🚺"/>
    <x v="4"/>
    <d v="1987-02-27T00:00:00"/>
    <n v="35"/>
    <x v="6"/>
    <x v="0"/>
    <s v="🚹"/>
    <n v="3"/>
    <x v="0"/>
    <x v="0"/>
    <s v="No aplica"/>
    <s v="Vidrios de comercio rotos"/>
    <x v="1"/>
    <x v="0"/>
    <s v="Abierto"/>
    <s v="240"/>
  </r>
  <r>
    <n v="102"/>
    <x v="157"/>
    <x v="157"/>
    <x v="157"/>
    <x v="2"/>
    <x v="158"/>
    <x v="4"/>
    <x v="2"/>
    <s v="-31,334500143441, -64,2460773260564"/>
    <d v="1977-10-17T00:00:00"/>
    <n v="39"/>
    <x v="6"/>
    <x v="1"/>
    <s v="🚹"/>
    <x v="0"/>
    <d v="2006-07-25T00:00:00"/>
    <n v="10"/>
    <x v="5"/>
    <x v="1"/>
    <s v="🚺"/>
    <n v="2"/>
    <x v="1"/>
    <x v="0"/>
    <s v="No aplica"/>
    <s v="Evasión fiscal"/>
    <x v="0"/>
    <x v="0"/>
    <s v="Cerrado"/>
    <s v="No aplica"/>
  </r>
  <r>
    <n v="159"/>
    <x v="158"/>
    <x v="158"/>
    <x v="158"/>
    <x v="2"/>
    <x v="159"/>
    <x v="2"/>
    <x v="10"/>
    <s v="-31,4285567311661, -64,1853198281007"/>
    <d v="1968-12-24T00:00:00"/>
    <n v="46"/>
    <x v="0"/>
    <x v="0"/>
    <s v="🚺"/>
    <x v="2"/>
    <d v="1962-12-19T00:00:00"/>
    <n v="52"/>
    <x v="4"/>
    <x v="1"/>
    <s v="🚺"/>
    <n v="3"/>
    <x v="0"/>
    <x v="0"/>
    <s v="No aplica"/>
    <s v="5kg de cocaína"/>
    <x v="1"/>
    <x v="0"/>
    <s v="Abierto"/>
    <s v="67"/>
  </r>
  <r>
    <n v="827"/>
    <x v="159"/>
    <x v="159"/>
    <x v="159"/>
    <x v="3"/>
    <x v="160"/>
    <x v="2"/>
    <x v="11"/>
    <s v="-31,4506257494184, -64,1733054344705"/>
    <d v="1994-03-02T00:00:00"/>
    <n v="22"/>
    <x v="1"/>
    <x v="0"/>
    <s v="🚺"/>
    <x v="3"/>
    <d v="2006-11-07T00:00:00"/>
    <n v="10"/>
    <x v="5"/>
    <x v="0"/>
    <s v="🚹"/>
    <n v="1"/>
    <x v="1"/>
    <x v="0"/>
    <s v="Sin agravantes"/>
    <s v="No aplica"/>
    <x v="1"/>
    <x v="1"/>
    <s v="Abierto"/>
    <s v="No aplica"/>
  </r>
  <r>
    <n v="161"/>
    <x v="160"/>
    <x v="160"/>
    <x v="160"/>
    <x v="0"/>
    <x v="161"/>
    <x v="7"/>
    <x v="5"/>
    <s v="-31,3477902896523, -64,2644406169297"/>
    <d v="1988-05-20T00:00:00"/>
    <n v="26"/>
    <x v="3"/>
    <x v="1"/>
    <s v="🚹"/>
    <x v="1"/>
    <d v="1964-12-04T00:00:00"/>
    <n v="50"/>
    <x v="4"/>
    <x v="0"/>
    <s v="🚹"/>
    <n v="1"/>
    <x v="0"/>
    <x v="4"/>
    <s v="No aplica"/>
    <s v="Billetera con $15,000 ARG"/>
    <x v="0"/>
    <x v="1"/>
    <s v="En investigación"/>
    <s v="208"/>
  </r>
  <r>
    <n v="162"/>
    <x v="161"/>
    <x v="161"/>
    <x v="161"/>
    <x v="4"/>
    <x v="8"/>
    <x v="2"/>
    <x v="11"/>
    <s v="-31,4506257494184, -64,1733054344705"/>
    <d v="1954-04-06T00:00:00"/>
    <n v="64"/>
    <x v="5"/>
    <x v="1"/>
    <s v="🚹"/>
    <x v="3"/>
    <d v="1959-06-06T00:00:00"/>
    <n v="59"/>
    <x v="2"/>
    <x v="0"/>
    <s v="🚹"/>
    <n v="3"/>
    <x v="0"/>
    <x v="0"/>
    <s v="No aplica"/>
    <s v="Cuentas falsas"/>
    <x v="1"/>
    <x v="1"/>
    <s v="Cerrado"/>
    <s v="166"/>
  </r>
  <r>
    <n v="165"/>
    <x v="162"/>
    <x v="162"/>
    <x v="162"/>
    <x v="6"/>
    <x v="162"/>
    <x v="9"/>
    <x v="4"/>
    <s v="-31,3759272890294, -64,2284587792478"/>
    <d v="1987-11-26T00:00:00"/>
    <n v="35"/>
    <x v="3"/>
    <x v="0"/>
    <s v="🚺"/>
    <x v="1"/>
    <d v="1944-11-23T00:00:00"/>
    <n v="78"/>
    <x v="0"/>
    <x v="1"/>
    <s v="🚺"/>
    <n v="3"/>
    <x v="0"/>
    <x v="0"/>
    <s v="No aplica"/>
    <s v="No aplica"/>
    <x v="1"/>
    <x v="0"/>
    <s v="Cerrado"/>
    <s v="108"/>
  </r>
  <r>
    <n v="166"/>
    <x v="136"/>
    <x v="136"/>
    <x v="136"/>
    <x v="3"/>
    <x v="163"/>
    <x v="9"/>
    <x v="6"/>
    <s v="-31,3909520937826, -64,1836424491715"/>
    <d v="1964-08-14T00:00:00"/>
    <n v="59"/>
    <x v="5"/>
    <x v="0"/>
    <s v="🚺"/>
    <x v="0"/>
    <d v="1949-01-24T00:00:00"/>
    <n v="75"/>
    <x v="0"/>
    <x v="0"/>
    <s v="🚹"/>
    <n v="3"/>
    <x v="0"/>
    <x v="0"/>
    <s v="No aplica"/>
    <s v="Evasión fiscal"/>
    <x v="1"/>
    <x v="0"/>
    <s v="Abierto"/>
    <s v="194"/>
  </r>
  <r>
    <n v="433"/>
    <x v="163"/>
    <x v="163"/>
    <x v="163"/>
    <x v="3"/>
    <x v="164"/>
    <x v="9"/>
    <x v="7"/>
    <s v="-31,4015892433235, -64,160442876477"/>
    <d v="1991-04-10T00:00:00"/>
    <n v="25"/>
    <x v="1"/>
    <x v="1"/>
    <s v="🚹"/>
    <x v="1"/>
    <d v="1976-02-23T00:00:00"/>
    <n v="40"/>
    <x v="1"/>
    <x v="1"/>
    <s v="🚺"/>
    <n v="3"/>
    <x v="1"/>
    <x v="0"/>
    <s v="No aplica"/>
    <s v="Dinero público desviado"/>
    <x v="0"/>
    <x v="1"/>
    <s v="Abierto"/>
    <s v="No aplica"/>
  </r>
  <r>
    <n v="418"/>
    <x v="164"/>
    <x v="164"/>
    <x v="164"/>
    <x v="4"/>
    <x v="165"/>
    <x v="6"/>
    <x v="6"/>
    <s v="-31,3909520937826, -64,1836424491715"/>
    <d v="1953-07-11T00:00:00"/>
    <n v="63"/>
    <x v="5"/>
    <x v="0"/>
    <s v="🚺"/>
    <x v="4"/>
    <d v="1961-06-21T00:00:00"/>
    <n v="55"/>
    <x v="4"/>
    <x v="1"/>
    <s v="🚺"/>
    <n v="2"/>
    <x v="1"/>
    <x v="3"/>
    <s v="No aplica"/>
    <s v="Billetera con $15,000 ARG"/>
    <x v="1"/>
    <x v="1"/>
    <s v="Abierto"/>
    <s v="No aplica"/>
  </r>
  <r>
    <n v="167"/>
    <x v="165"/>
    <x v="165"/>
    <x v="165"/>
    <x v="1"/>
    <x v="166"/>
    <x v="0"/>
    <x v="7"/>
    <s v="-31,4015892433235, -64,160442876477"/>
    <d v="1978-06-15T00:00:00"/>
    <n v="40"/>
    <x v="6"/>
    <x v="1"/>
    <s v="🚹"/>
    <x v="2"/>
    <d v="1942-05-08T00:00:00"/>
    <n v="76"/>
    <x v="0"/>
    <x v="0"/>
    <s v="🚹"/>
    <n v="2"/>
    <x v="0"/>
    <x v="0"/>
    <s v="No aplica"/>
    <s v="Vidrios de comercio rotos"/>
    <x v="1"/>
    <x v="0"/>
    <s v="Cerrado"/>
    <s v="87"/>
  </r>
  <r>
    <n v="171"/>
    <x v="166"/>
    <x v="166"/>
    <x v="166"/>
    <x v="2"/>
    <x v="167"/>
    <x v="5"/>
    <x v="0"/>
    <s v="-31,4800162965848, -64,2094200976892"/>
    <d v="1964-04-11T00:00:00"/>
    <n v="53"/>
    <x v="0"/>
    <x v="1"/>
    <s v="🚹"/>
    <x v="4"/>
    <d v="1994-04-16T00:00:00"/>
    <n v="23"/>
    <x v="3"/>
    <x v="0"/>
    <s v="🚹"/>
    <n v="3"/>
    <x v="0"/>
    <x v="0"/>
    <s v="Alevosía"/>
    <s v="No aplica"/>
    <x v="0"/>
    <x v="0"/>
    <s v="Cerrado"/>
    <s v="184"/>
  </r>
  <r>
    <n v="149"/>
    <x v="167"/>
    <x v="167"/>
    <x v="167"/>
    <x v="3"/>
    <x v="168"/>
    <x v="8"/>
    <x v="0"/>
    <s v="-31,4800162965848, -64,2094200976892"/>
    <d v="1984-11-22T00:00:00"/>
    <n v="32"/>
    <x v="3"/>
    <x v="0"/>
    <s v="🚺"/>
    <x v="0"/>
    <d v="1941-10-24T00:00:00"/>
    <n v="75"/>
    <x v="0"/>
    <x v="0"/>
    <s v="🚹"/>
    <n v="2"/>
    <x v="1"/>
    <x v="0"/>
    <s v="No aplica"/>
    <s v="Estafa bancaria"/>
    <x v="1"/>
    <x v="0"/>
    <s v="Cerrado"/>
    <s v="No aplica"/>
  </r>
  <r>
    <n v="172"/>
    <x v="168"/>
    <x v="168"/>
    <x v="168"/>
    <x v="0"/>
    <x v="169"/>
    <x v="4"/>
    <x v="9"/>
    <s v="-31,4076397196409, -64,2020170430678"/>
    <d v="1971-12-12T00:00:00"/>
    <n v="47"/>
    <x v="0"/>
    <x v="1"/>
    <s v="🚹"/>
    <x v="3"/>
    <d v="1983-08-15T00:00:00"/>
    <n v="35"/>
    <x v="6"/>
    <x v="1"/>
    <s v="🚺"/>
    <n v="2"/>
    <x v="0"/>
    <x v="0"/>
    <s v="No aplica"/>
    <s v="Vidrios de comercio rotos"/>
    <x v="1"/>
    <x v="0"/>
    <s v="Cerrado"/>
    <s v="120"/>
  </r>
  <r>
    <n v="174"/>
    <x v="169"/>
    <x v="169"/>
    <x v="169"/>
    <x v="1"/>
    <x v="170"/>
    <x v="5"/>
    <x v="11"/>
    <s v="-31,4506257494184, -64,1733054344705"/>
    <d v="2001-12-05T00:00:00"/>
    <n v="22"/>
    <x v="1"/>
    <x v="1"/>
    <s v="🚹"/>
    <x v="0"/>
    <d v="1975-11-24T00:00:00"/>
    <n v="48"/>
    <x v="4"/>
    <x v="1"/>
    <s v="🚺"/>
    <n v="1"/>
    <x v="0"/>
    <x v="0"/>
    <s v="No aplica"/>
    <s v="Cuentas falsas"/>
    <x v="1"/>
    <x v="0"/>
    <s v="Cerrado"/>
    <s v="182"/>
  </r>
  <r>
    <n v="987"/>
    <x v="170"/>
    <x v="170"/>
    <x v="170"/>
    <x v="5"/>
    <x v="171"/>
    <x v="11"/>
    <x v="6"/>
    <s v="-31,3909520937826, -64,1836424491715"/>
    <d v="1966-06-06T00:00:00"/>
    <n v="50"/>
    <x v="0"/>
    <x v="1"/>
    <s v="🚹"/>
    <x v="4"/>
    <d v="1953-01-15T00:00:00"/>
    <n v="64"/>
    <x v="2"/>
    <x v="0"/>
    <s v="🚹"/>
    <n v="3"/>
    <x v="1"/>
    <x v="0"/>
    <s v="No aplica"/>
    <s v="Cartera con documentación"/>
    <x v="1"/>
    <x v="1"/>
    <s v="Cerrado"/>
    <s v="No aplica"/>
  </r>
  <r>
    <n v="721"/>
    <x v="171"/>
    <x v="171"/>
    <x v="171"/>
    <x v="2"/>
    <x v="41"/>
    <x v="3"/>
    <x v="7"/>
    <s v="-31,4015892433235, -64,160442876477"/>
    <d v="1956-08-11T00:00:00"/>
    <n v="60"/>
    <x v="5"/>
    <x v="1"/>
    <s v="🚹"/>
    <x v="3"/>
    <d v="2010-09-04T00:00:00"/>
    <n v="6"/>
    <x v="5"/>
    <x v="0"/>
    <s v="🚹"/>
    <n v="2"/>
    <x v="1"/>
    <x v="2"/>
    <s v="No aplica"/>
    <s v="Laptop marca HP"/>
    <x v="1"/>
    <x v="0"/>
    <s v="Cerrado"/>
    <s v="No aplica"/>
  </r>
  <r>
    <n v="175"/>
    <x v="172"/>
    <x v="172"/>
    <x v="172"/>
    <x v="5"/>
    <x v="172"/>
    <x v="11"/>
    <x v="5"/>
    <s v="-31,3477902896523, -64,2644406169297"/>
    <d v="1989-04-19T00:00:00"/>
    <n v="35"/>
    <x v="3"/>
    <x v="1"/>
    <s v="🚹"/>
    <x v="4"/>
    <d v="1975-07-23T00:00:00"/>
    <n v="48"/>
    <x v="4"/>
    <x v="1"/>
    <s v="🚺"/>
    <n v="1"/>
    <x v="0"/>
    <x v="0"/>
    <s v="No aplica"/>
    <s v="Ropa de marca"/>
    <x v="1"/>
    <x v="0"/>
    <s v="En investigación"/>
    <s v="35"/>
  </r>
  <r>
    <n v="331"/>
    <x v="173"/>
    <x v="173"/>
    <x v="173"/>
    <x v="1"/>
    <x v="173"/>
    <x v="4"/>
    <x v="5"/>
    <s v="-31,3477902896523, -64,2644406169297"/>
    <d v="1959-01-07T00:00:00"/>
    <n v="58"/>
    <x v="5"/>
    <x v="0"/>
    <s v="🚺"/>
    <x v="2"/>
    <d v="2008-11-23T00:00:00"/>
    <n v="8"/>
    <x v="5"/>
    <x v="0"/>
    <s v="🚹"/>
    <n v="1"/>
    <x v="1"/>
    <x v="0"/>
    <s v="No aplica"/>
    <s v="Celular"/>
    <x v="1"/>
    <x v="1"/>
    <s v="Abierto"/>
    <s v="No aplica"/>
  </r>
  <r>
    <n v="176"/>
    <x v="174"/>
    <x v="174"/>
    <x v="174"/>
    <x v="2"/>
    <x v="174"/>
    <x v="9"/>
    <x v="4"/>
    <s v="-31,3759272890294, -64,2284587792478"/>
    <d v="1974-12-26T00:00:00"/>
    <n v="45"/>
    <x v="6"/>
    <x v="1"/>
    <s v="🚹"/>
    <x v="1"/>
    <d v="1963-11-16T00:00:00"/>
    <n v="56"/>
    <x v="2"/>
    <x v="0"/>
    <s v="🚹"/>
    <n v="3"/>
    <x v="0"/>
    <x v="0"/>
    <s v="No aplica"/>
    <s v="Dinero público desviado"/>
    <x v="1"/>
    <x v="0"/>
    <s v="Cerrado"/>
    <s v="173"/>
  </r>
  <r>
    <n v="178"/>
    <x v="175"/>
    <x v="175"/>
    <x v="175"/>
    <x v="6"/>
    <x v="175"/>
    <x v="8"/>
    <x v="6"/>
    <s v="-31,3909520937826, -64,1836424491715"/>
    <d v="1989-08-18T00:00:00"/>
    <n v="29"/>
    <x v="3"/>
    <x v="0"/>
    <s v="🚺"/>
    <x v="1"/>
    <d v="1956-02-26T00:00:00"/>
    <n v="62"/>
    <x v="2"/>
    <x v="0"/>
    <s v="🚹"/>
    <n v="3"/>
    <x v="0"/>
    <x v="0"/>
    <s v="No aplica"/>
    <s v="Vidrios de comercio rotos"/>
    <x v="0"/>
    <x v="0"/>
    <s v="Cerrado"/>
    <s v="244"/>
  </r>
  <r>
    <n v="873"/>
    <x v="176"/>
    <x v="176"/>
    <x v="176"/>
    <x v="4"/>
    <x v="176"/>
    <x v="5"/>
    <x v="2"/>
    <s v="-31,334500143441, -64,2460773260564"/>
    <d v="1995-09-26T00:00:00"/>
    <n v="21"/>
    <x v="1"/>
    <x v="0"/>
    <s v="🚺"/>
    <x v="4"/>
    <d v="2003-07-18T00:00:00"/>
    <n v="13"/>
    <x v="5"/>
    <x v="1"/>
    <s v="🚺"/>
    <n v="2"/>
    <x v="1"/>
    <x v="0"/>
    <s v="No aplica"/>
    <s v="No aplica"/>
    <x v="1"/>
    <x v="0"/>
    <s v="En investigación"/>
    <s v="No aplica"/>
  </r>
  <r>
    <n v="641"/>
    <x v="177"/>
    <x v="177"/>
    <x v="177"/>
    <x v="5"/>
    <x v="177"/>
    <x v="1"/>
    <x v="11"/>
    <s v="-31,4506257494184, -64,1733054344705"/>
    <d v="1959-05-24T00:00:00"/>
    <n v="57"/>
    <x v="5"/>
    <x v="0"/>
    <s v="🚺"/>
    <x v="3"/>
    <d v="2006-02-18T00:00:00"/>
    <n v="11"/>
    <x v="5"/>
    <x v="1"/>
    <s v="🚺"/>
    <n v="2"/>
    <x v="1"/>
    <x v="0"/>
    <s v="Con ensañamiento"/>
    <s v="No aplica"/>
    <x v="1"/>
    <x v="0"/>
    <s v="Cerrado"/>
    <s v="No aplica"/>
  </r>
  <r>
    <n v="530"/>
    <x v="178"/>
    <x v="178"/>
    <x v="178"/>
    <x v="6"/>
    <x v="178"/>
    <x v="9"/>
    <x v="11"/>
    <s v="-31,4506257494184, -64,1733054344705"/>
    <d v="1998-03-16T00:00:00"/>
    <n v="18"/>
    <x v="1"/>
    <x v="0"/>
    <s v="🚺"/>
    <x v="2"/>
    <d v="1979-06-25T00:00:00"/>
    <n v="37"/>
    <x v="1"/>
    <x v="0"/>
    <s v="🚹"/>
    <n v="1"/>
    <x v="1"/>
    <x v="0"/>
    <s v="No aplica"/>
    <s v="Evasión fiscal"/>
    <x v="0"/>
    <x v="1"/>
    <s v="En investigación"/>
    <s v="No aplica"/>
  </r>
  <r>
    <n v="391"/>
    <x v="179"/>
    <x v="179"/>
    <x v="179"/>
    <x v="2"/>
    <x v="179"/>
    <x v="7"/>
    <x v="3"/>
    <s v="-31,4148488101991, -64,1793406489438"/>
    <d v="1976-07-05T00:00:00"/>
    <n v="40"/>
    <x v="6"/>
    <x v="1"/>
    <s v="🚹"/>
    <x v="4"/>
    <d v="1980-06-05T00:00:00"/>
    <n v="36"/>
    <x v="1"/>
    <x v="0"/>
    <s v="🚹"/>
    <n v="2"/>
    <x v="1"/>
    <x v="0"/>
    <s v="No aplica"/>
    <s v="Bicicleta"/>
    <x v="1"/>
    <x v="0"/>
    <s v="En investigación"/>
    <s v="No aplica"/>
  </r>
  <r>
    <n v="457"/>
    <x v="180"/>
    <x v="180"/>
    <x v="180"/>
    <x v="5"/>
    <x v="180"/>
    <x v="7"/>
    <x v="7"/>
    <s v="-31,4015892433235, -64,160442876477"/>
    <d v="1960-04-05T00:00:00"/>
    <n v="56"/>
    <x v="5"/>
    <x v="1"/>
    <s v="🚹"/>
    <x v="0"/>
    <d v="1993-08-09T00:00:00"/>
    <n v="23"/>
    <x v="3"/>
    <x v="1"/>
    <s v="🚺"/>
    <n v="1"/>
    <x v="1"/>
    <x v="0"/>
    <s v="No aplica"/>
    <s v="Contrato fraudulento"/>
    <x v="1"/>
    <x v="1"/>
    <s v="Abierto"/>
    <s v="No aplica"/>
  </r>
  <r>
    <n v="558"/>
    <x v="181"/>
    <x v="181"/>
    <x v="181"/>
    <x v="2"/>
    <x v="181"/>
    <x v="7"/>
    <x v="11"/>
    <s v="-31,4506257494184, -64,1733054344705"/>
    <d v="1966-01-03T00:00:00"/>
    <n v="51"/>
    <x v="0"/>
    <x v="0"/>
    <s v="🚺"/>
    <x v="0"/>
    <d v="2007-10-26T00:00:00"/>
    <n v="9"/>
    <x v="5"/>
    <x v="0"/>
    <s v="🚹"/>
    <n v="3"/>
    <x v="1"/>
    <x v="4"/>
    <s v="No aplica"/>
    <s v="Laptop marca HP"/>
    <x v="0"/>
    <x v="1"/>
    <s v="Abierto"/>
    <s v="No aplica"/>
  </r>
  <r>
    <n v="182"/>
    <x v="182"/>
    <x v="182"/>
    <x v="182"/>
    <x v="2"/>
    <x v="182"/>
    <x v="5"/>
    <x v="7"/>
    <s v="-31,4015892433235, -64,160442876477"/>
    <d v="1979-08-24T00:00:00"/>
    <n v="42"/>
    <x v="6"/>
    <x v="0"/>
    <s v="🚺"/>
    <x v="2"/>
    <d v="2004-06-11T00:00:00"/>
    <n v="17"/>
    <x v="5"/>
    <x v="1"/>
    <s v="🚺"/>
    <n v="3"/>
    <x v="0"/>
    <x v="0"/>
    <s v="No aplica"/>
    <s v="Grafitis en edificios públicos"/>
    <x v="0"/>
    <x v="1"/>
    <s v="Cerrado"/>
    <s v="177"/>
  </r>
  <r>
    <n v="183"/>
    <x v="183"/>
    <x v="183"/>
    <x v="183"/>
    <x v="5"/>
    <x v="183"/>
    <x v="1"/>
    <x v="9"/>
    <s v="-31,4076397196409, -64,2020170430678"/>
    <d v="1979-11-05T00:00:00"/>
    <n v="35"/>
    <x v="3"/>
    <x v="0"/>
    <s v="🚺"/>
    <x v="2"/>
    <d v="1978-11-19T00:00:00"/>
    <n v="36"/>
    <x v="1"/>
    <x v="1"/>
    <s v="🚺"/>
    <n v="3"/>
    <x v="0"/>
    <x v="0"/>
    <s v="No aplica"/>
    <s v="Lavado de dinero"/>
    <x v="1"/>
    <x v="0"/>
    <s v="Abierto"/>
    <s v="183"/>
  </r>
  <r>
    <n v="187"/>
    <x v="184"/>
    <x v="184"/>
    <x v="184"/>
    <x v="3"/>
    <x v="184"/>
    <x v="9"/>
    <x v="6"/>
    <s v="-31,3909520937826, -64,1836424491715"/>
    <d v="1963-07-07T00:00:00"/>
    <n v="60"/>
    <x v="5"/>
    <x v="1"/>
    <s v="🚹"/>
    <x v="2"/>
    <d v="1974-02-16T00:00:00"/>
    <n v="49"/>
    <x v="4"/>
    <x v="1"/>
    <s v="🚺"/>
    <n v="3"/>
    <x v="0"/>
    <x v="1"/>
    <s v="No aplica"/>
    <s v="Celular, tarjetas bancarias"/>
    <x v="1"/>
    <x v="0"/>
    <s v="Cerrado"/>
    <s v="257"/>
  </r>
  <r>
    <n v="188"/>
    <x v="185"/>
    <x v="185"/>
    <x v="185"/>
    <x v="4"/>
    <x v="185"/>
    <x v="11"/>
    <x v="10"/>
    <s v="-31,4285567311661, -64,1853198281007"/>
    <d v="1970-05-23T00:00:00"/>
    <n v="54"/>
    <x v="0"/>
    <x v="0"/>
    <s v="🚺"/>
    <x v="0"/>
    <d v="2002-09-05T00:00:00"/>
    <n v="21"/>
    <x v="3"/>
    <x v="0"/>
    <s v="🚹"/>
    <n v="1"/>
    <x v="0"/>
    <x v="0"/>
    <s v="No aplica"/>
    <s v="Cartera con documentación"/>
    <x v="1"/>
    <x v="0"/>
    <s v="En investigación"/>
    <s v="197"/>
  </r>
  <r>
    <n v="468"/>
    <x v="186"/>
    <x v="186"/>
    <x v="186"/>
    <x v="5"/>
    <x v="186"/>
    <x v="11"/>
    <x v="2"/>
    <s v="-31,334500143441, -64,2460773260564"/>
    <d v="1961-01-22T00:00:00"/>
    <n v="56"/>
    <x v="5"/>
    <x v="1"/>
    <s v="🚹"/>
    <x v="1"/>
    <d v="1982-07-15T00:00:00"/>
    <n v="34"/>
    <x v="6"/>
    <x v="1"/>
    <s v="🚺"/>
    <n v="2"/>
    <x v="1"/>
    <x v="3"/>
    <s v="Sin agravantes"/>
    <s v="No aplica"/>
    <x v="0"/>
    <x v="1"/>
    <s v="Cerrado"/>
    <s v="No aplica"/>
  </r>
  <r>
    <n v="238"/>
    <x v="187"/>
    <x v="187"/>
    <x v="187"/>
    <x v="5"/>
    <x v="187"/>
    <x v="1"/>
    <x v="5"/>
    <s v="-31,3477902896523, -64,2644406169297"/>
    <d v="1968-05-16T00:00:00"/>
    <n v="48"/>
    <x v="0"/>
    <x v="1"/>
    <s v="🚹"/>
    <x v="4"/>
    <d v="1973-11-19T00:00:00"/>
    <n v="43"/>
    <x v="1"/>
    <x v="0"/>
    <s v="🚹"/>
    <n v="1"/>
    <x v="1"/>
    <x v="0"/>
    <s v="No aplica"/>
    <s v="Grafitis en edificios públicos"/>
    <x v="1"/>
    <x v="1"/>
    <s v="Abierto"/>
    <s v="No aplica"/>
  </r>
  <r>
    <n v="441"/>
    <x v="188"/>
    <x v="188"/>
    <x v="188"/>
    <x v="2"/>
    <x v="188"/>
    <x v="7"/>
    <x v="5"/>
    <s v="-31,3477902896523, -64,2644406169297"/>
    <d v="1994-07-14T00:00:00"/>
    <n v="22"/>
    <x v="1"/>
    <x v="1"/>
    <s v="🚹"/>
    <x v="2"/>
    <d v="1978-01-08T00:00:00"/>
    <n v="39"/>
    <x v="1"/>
    <x v="0"/>
    <s v="🚹"/>
    <n v="3"/>
    <x v="1"/>
    <x v="0"/>
    <s v="Por vínculo"/>
    <s v="No aplica"/>
    <x v="1"/>
    <x v="0"/>
    <s v="Cerrado"/>
    <s v="No aplica"/>
  </r>
  <r>
    <n v="190"/>
    <x v="189"/>
    <x v="189"/>
    <x v="189"/>
    <x v="4"/>
    <x v="189"/>
    <x v="2"/>
    <x v="10"/>
    <s v="-31,4285567311661, -64,1853198281007"/>
    <d v="1976-07-09T00:00:00"/>
    <n v="41"/>
    <x v="6"/>
    <x v="0"/>
    <s v="🚺"/>
    <x v="1"/>
    <d v="1993-04-11T00:00:00"/>
    <n v="24"/>
    <x v="3"/>
    <x v="0"/>
    <s v="🚹"/>
    <n v="2"/>
    <x v="0"/>
    <x v="0"/>
    <s v="Alevosía"/>
    <s v="No aplica"/>
    <x v="1"/>
    <x v="0"/>
    <s v="Cerrado"/>
    <s v="22"/>
  </r>
  <r>
    <n v="333"/>
    <x v="190"/>
    <x v="190"/>
    <x v="190"/>
    <x v="4"/>
    <x v="190"/>
    <x v="0"/>
    <x v="1"/>
    <s v="-31,4129883640337, -64,1681120522587"/>
    <d v="2004-05-08T00:00:00"/>
    <n v="12"/>
    <x v="2"/>
    <x v="0"/>
    <s v="🚺"/>
    <x v="0"/>
    <d v="1997-08-26T00:00:00"/>
    <n v="19"/>
    <x v="3"/>
    <x v="1"/>
    <s v="🚺"/>
    <n v="2"/>
    <x v="1"/>
    <x v="0"/>
    <s v="No aplica"/>
    <s v="Cartera con documentación"/>
    <x v="1"/>
    <x v="0"/>
    <s v="Abierto"/>
    <s v="No aplica"/>
  </r>
  <r>
    <n v="235"/>
    <x v="191"/>
    <x v="191"/>
    <x v="191"/>
    <x v="1"/>
    <x v="69"/>
    <x v="11"/>
    <x v="0"/>
    <s v="-31,4800162965848, -64,2094200976892"/>
    <d v="1978-05-12T00:00:00"/>
    <n v="38"/>
    <x v="6"/>
    <x v="0"/>
    <s v="🚺"/>
    <x v="4"/>
    <d v="1940-03-11T00:00:00"/>
    <n v="77"/>
    <x v="0"/>
    <x v="1"/>
    <s v="🚺"/>
    <n v="1"/>
    <x v="1"/>
    <x v="0"/>
    <s v="No aplica"/>
    <s v="5kg de cocaína"/>
    <x v="1"/>
    <x v="1"/>
    <s v="En investigación"/>
    <s v="No aplica"/>
  </r>
  <r>
    <n v="192"/>
    <x v="192"/>
    <x v="192"/>
    <x v="192"/>
    <x v="5"/>
    <x v="191"/>
    <x v="10"/>
    <x v="11"/>
    <s v="-31,4506257494184, -64,1733054344705"/>
    <d v="1981-05-18T00:00:00"/>
    <n v="38"/>
    <x v="6"/>
    <x v="1"/>
    <s v="🚹"/>
    <x v="1"/>
    <d v="1961-04-26T00:00:00"/>
    <n v="59"/>
    <x v="2"/>
    <x v="0"/>
    <s v="🚹"/>
    <n v="3"/>
    <x v="0"/>
    <x v="0"/>
    <s v="No aplica"/>
    <s v="No aplica"/>
    <x v="1"/>
    <x v="1"/>
    <s v="En investigación"/>
    <s v="144"/>
  </r>
  <r>
    <n v="191"/>
    <x v="193"/>
    <x v="193"/>
    <x v="193"/>
    <x v="3"/>
    <x v="192"/>
    <x v="7"/>
    <x v="6"/>
    <s v="-31,3909520937826, -64,1836424491715"/>
    <d v="1965-05-16T00:00:00"/>
    <n v="51"/>
    <x v="0"/>
    <x v="0"/>
    <s v="🚺"/>
    <x v="3"/>
    <d v="2012-11-17T00:00:00"/>
    <n v="4"/>
    <x v="5"/>
    <x v="0"/>
    <s v="🚹"/>
    <n v="1"/>
    <x v="1"/>
    <x v="0"/>
    <s v="Con ensañamiento"/>
    <s v="No aplica"/>
    <x v="1"/>
    <x v="0"/>
    <s v="Cerrado"/>
    <s v="No aplica"/>
  </r>
  <r>
    <n v="227"/>
    <x v="194"/>
    <x v="194"/>
    <x v="194"/>
    <x v="1"/>
    <x v="193"/>
    <x v="6"/>
    <x v="3"/>
    <s v="-31,4148488101991, -64,1793406489438"/>
    <d v="1982-10-17T00:00:00"/>
    <n v="34"/>
    <x v="3"/>
    <x v="1"/>
    <s v="🚹"/>
    <x v="4"/>
    <d v="2001-12-17T00:00:00"/>
    <n v="15"/>
    <x v="5"/>
    <x v="0"/>
    <s v="🚹"/>
    <n v="2"/>
    <x v="1"/>
    <x v="0"/>
    <s v="Alevosía"/>
    <s v="No aplica"/>
    <x v="1"/>
    <x v="0"/>
    <s v="Cerrado"/>
    <s v="No aplica"/>
  </r>
  <r>
    <n v="193"/>
    <x v="195"/>
    <x v="195"/>
    <x v="195"/>
    <x v="0"/>
    <x v="194"/>
    <x v="10"/>
    <x v="5"/>
    <s v="-31,3477902896523, -64,2644406169297"/>
    <d v="1991-05-26T00:00:00"/>
    <n v="27"/>
    <x v="3"/>
    <x v="0"/>
    <s v="🚺"/>
    <x v="1"/>
    <d v="1959-12-06T00:00:00"/>
    <n v="58"/>
    <x v="2"/>
    <x v="1"/>
    <s v="🚺"/>
    <n v="1"/>
    <x v="0"/>
    <x v="0"/>
    <s v="No aplica"/>
    <s v="Pasta base"/>
    <x v="0"/>
    <x v="0"/>
    <s v="Cerrado"/>
    <s v="55"/>
  </r>
  <r>
    <n v="196"/>
    <x v="196"/>
    <x v="196"/>
    <x v="196"/>
    <x v="4"/>
    <x v="195"/>
    <x v="6"/>
    <x v="5"/>
    <s v="-31,3477902896523, -64,2644406169297"/>
    <d v="1994-04-24T00:00:00"/>
    <n v="30"/>
    <x v="3"/>
    <x v="1"/>
    <s v="🚹"/>
    <x v="0"/>
    <d v="1964-09-05T00:00:00"/>
    <n v="60"/>
    <x v="2"/>
    <x v="0"/>
    <s v="🚹"/>
    <n v="1"/>
    <x v="0"/>
    <x v="0"/>
    <s v="No aplica"/>
    <s v="Dinero público desviado"/>
    <x v="1"/>
    <x v="0"/>
    <s v="En investigación"/>
    <s v="62"/>
  </r>
  <r>
    <n v="697"/>
    <x v="197"/>
    <x v="197"/>
    <x v="197"/>
    <x v="6"/>
    <x v="196"/>
    <x v="4"/>
    <x v="9"/>
    <s v="-31,4076397196409, -64,2020170430678"/>
    <d v="1959-11-28T00:00:00"/>
    <n v="57"/>
    <x v="5"/>
    <x v="0"/>
    <s v="🚺"/>
    <x v="2"/>
    <d v="1973-06-02T00:00:00"/>
    <n v="43"/>
    <x v="1"/>
    <x v="0"/>
    <s v="🚹"/>
    <n v="1"/>
    <x v="1"/>
    <x v="0"/>
    <s v="No aplica"/>
    <s v="Bicicleta"/>
    <x v="1"/>
    <x v="0"/>
    <s v="Abierto"/>
    <s v="No aplica"/>
  </r>
  <r>
    <n v="673"/>
    <x v="198"/>
    <x v="198"/>
    <x v="198"/>
    <x v="4"/>
    <x v="197"/>
    <x v="5"/>
    <x v="7"/>
    <s v="-31,4015892433235, -64,160442876477"/>
    <d v="2005-06-24T00:00:00"/>
    <n v="11"/>
    <x v="2"/>
    <x v="1"/>
    <s v="🚹"/>
    <x v="3"/>
    <d v="1978-11-10T00:00:00"/>
    <n v="38"/>
    <x v="1"/>
    <x v="1"/>
    <s v="🚺"/>
    <n v="2"/>
    <x v="1"/>
    <x v="0"/>
    <s v="No aplica"/>
    <s v="No aplica"/>
    <x v="1"/>
    <x v="1"/>
    <s v="Abierto"/>
    <s v="No aplica"/>
  </r>
  <r>
    <n v="200"/>
    <x v="199"/>
    <x v="199"/>
    <x v="199"/>
    <x v="4"/>
    <x v="74"/>
    <x v="6"/>
    <x v="8"/>
    <s v="-31,423018915313, -64,1493562190664"/>
    <d v="1990-07-02T00:00:00"/>
    <n v="32"/>
    <x v="3"/>
    <x v="1"/>
    <s v="🚹"/>
    <x v="1"/>
    <d v="1992-07-02T00:00:00"/>
    <n v="30"/>
    <x v="6"/>
    <x v="0"/>
    <s v="🚹"/>
    <n v="2"/>
    <x v="0"/>
    <x v="0"/>
    <s v="No aplica"/>
    <s v="Dinero público desviado"/>
    <x v="0"/>
    <x v="1"/>
    <s v="Cerrado"/>
    <s v="235"/>
  </r>
  <r>
    <n v="203"/>
    <x v="200"/>
    <x v="200"/>
    <x v="200"/>
    <x v="0"/>
    <x v="198"/>
    <x v="9"/>
    <x v="1"/>
    <s v="-31,4129883640337, -64,1681120522587"/>
    <d v="1970-11-09T00:00:00"/>
    <n v="48"/>
    <x v="0"/>
    <x v="1"/>
    <s v="🚹"/>
    <x v="0"/>
    <d v="1967-03-13T00:00:00"/>
    <n v="52"/>
    <x v="4"/>
    <x v="0"/>
    <s v="🚹"/>
    <n v="2"/>
    <x v="0"/>
    <x v="0"/>
    <s v="No aplica"/>
    <s v="Plantas de marihuana"/>
    <x v="0"/>
    <x v="0"/>
    <s v="Cerrado"/>
    <s v="45"/>
  </r>
  <r>
    <n v="908"/>
    <x v="201"/>
    <x v="201"/>
    <x v="201"/>
    <x v="4"/>
    <x v="199"/>
    <x v="3"/>
    <x v="2"/>
    <s v="-31,334500143441, -64,2460773260564"/>
    <d v="1983-05-07T00:00:00"/>
    <n v="34"/>
    <x v="3"/>
    <x v="0"/>
    <s v="🚺"/>
    <x v="0"/>
    <d v="2007-04-01T00:00:00"/>
    <n v="10"/>
    <x v="5"/>
    <x v="1"/>
    <s v="🚺"/>
    <n v="2"/>
    <x v="1"/>
    <x v="0"/>
    <s v="No aplica"/>
    <s v="5kg de cocaína"/>
    <x v="1"/>
    <x v="0"/>
    <s v="Abierto"/>
    <s v="No aplica"/>
  </r>
  <r>
    <n v="206"/>
    <x v="202"/>
    <x v="202"/>
    <x v="202"/>
    <x v="6"/>
    <x v="200"/>
    <x v="9"/>
    <x v="9"/>
    <s v="-31,4076397196409, -64,2020170430678"/>
    <d v="1955-10-12T00:00:00"/>
    <n v="59"/>
    <x v="5"/>
    <x v="1"/>
    <s v="🚹"/>
    <x v="0"/>
    <d v="1951-11-08T00:00:00"/>
    <n v="63"/>
    <x v="2"/>
    <x v="1"/>
    <s v="🚺"/>
    <n v="1"/>
    <x v="0"/>
    <x v="1"/>
    <s v="Sin agravantes"/>
    <s v="No aplica"/>
    <x v="1"/>
    <x v="0"/>
    <s v="En investigación"/>
    <s v="180"/>
  </r>
  <r>
    <n v="207"/>
    <x v="203"/>
    <x v="203"/>
    <x v="203"/>
    <x v="5"/>
    <x v="90"/>
    <x v="9"/>
    <x v="7"/>
    <s v="-31,4015892433235, -64,160442876477"/>
    <d v="2001-01-13T00:00:00"/>
    <n v="21"/>
    <x v="1"/>
    <x v="1"/>
    <s v="🚹"/>
    <x v="0"/>
    <d v="1966-08-14T00:00:00"/>
    <n v="56"/>
    <x v="2"/>
    <x v="0"/>
    <s v="🚹"/>
    <n v="1"/>
    <x v="0"/>
    <x v="3"/>
    <s v="Por vínculo"/>
    <s v="No aplica"/>
    <x v="0"/>
    <x v="0"/>
    <s v="Cerrado"/>
    <s v="145"/>
  </r>
  <r>
    <n v="209"/>
    <x v="204"/>
    <x v="204"/>
    <x v="204"/>
    <x v="1"/>
    <x v="201"/>
    <x v="9"/>
    <x v="11"/>
    <s v="-31,4506257494184, -64,1733054344705"/>
    <d v="2006-05-09T00:00:00"/>
    <n v="9"/>
    <x v="2"/>
    <x v="0"/>
    <s v="🚺"/>
    <x v="3"/>
    <d v="1982-07-14T00:00:00"/>
    <n v="33"/>
    <x v="6"/>
    <x v="1"/>
    <s v="🚺"/>
    <n v="1"/>
    <x v="0"/>
    <x v="0"/>
    <s v="No aplica"/>
    <s v="5kg de cocaína"/>
    <x v="1"/>
    <x v="1"/>
    <s v="En investigación"/>
    <s v="213"/>
  </r>
  <r>
    <n v="36"/>
    <x v="205"/>
    <x v="205"/>
    <x v="205"/>
    <x v="5"/>
    <x v="202"/>
    <x v="8"/>
    <x v="5"/>
    <s v="-31,3477902896523, -64,2644406169297"/>
    <d v="2000-06-25T00:00:00"/>
    <n v="16"/>
    <x v="2"/>
    <x v="0"/>
    <s v="🚺"/>
    <x v="2"/>
    <d v="1940-02-14T00:00:00"/>
    <n v="77"/>
    <x v="0"/>
    <x v="1"/>
    <s v="🚺"/>
    <n v="2"/>
    <x v="1"/>
    <x v="0"/>
    <s v="No aplica"/>
    <s v="Plantas de marihuana"/>
    <x v="0"/>
    <x v="0"/>
    <s v="En investigación"/>
    <s v="No aplica"/>
  </r>
  <r>
    <n v="421"/>
    <x v="206"/>
    <x v="206"/>
    <x v="206"/>
    <x v="2"/>
    <x v="203"/>
    <x v="5"/>
    <x v="11"/>
    <s v="-31,4506257494184, -64,1733054344705"/>
    <d v="1988-10-07T00:00:00"/>
    <n v="28"/>
    <x v="3"/>
    <x v="0"/>
    <s v="🚺"/>
    <x v="4"/>
    <d v="1953-03-09T00:00:00"/>
    <n v="64"/>
    <x v="2"/>
    <x v="1"/>
    <s v="🚺"/>
    <n v="1"/>
    <x v="1"/>
    <x v="0"/>
    <s v="No aplica"/>
    <s v="No aplica"/>
    <x v="1"/>
    <x v="1"/>
    <s v="Abierto"/>
    <s v="No aplica"/>
  </r>
  <r>
    <n v="210"/>
    <x v="207"/>
    <x v="207"/>
    <x v="207"/>
    <x v="0"/>
    <x v="204"/>
    <x v="1"/>
    <x v="0"/>
    <s v="-31,4800162965848, -64,2094200976892"/>
    <d v="1978-10-16T00:00:00"/>
    <n v="46"/>
    <x v="0"/>
    <x v="1"/>
    <s v="🚹"/>
    <x v="3"/>
    <d v="2000-08-16T00:00:00"/>
    <n v="24"/>
    <x v="3"/>
    <x v="0"/>
    <s v="🚹"/>
    <n v="1"/>
    <x v="0"/>
    <x v="0"/>
    <s v="No aplica"/>
    <s v="Dinero público desviado"/>
    <x v="1"/>
    <x v="1"/>
    <s v="En investigación"/>
    <s v="77"/>
  </r>
  <r>
    <n v="212"/>
    <x v="208"/>
    <x v="208"/>
    <x v="208"/>
    <x v="0"/>
    <x v="205"/>
    <x v="11"/>
    <x v="0"/>
    <s v="-31,4800162965848, -64,2094200976892"/>
    <d v="1971-10-28T00:00:00"/>
    <n v="45"/>
    <x v="6"/>
    <x v="0"/>
    <s v="🚺"/>
    <x v="3"/>
    <d v="1968-12-21T00:00:00"/>
    <n v="48"/>
    <x v="4"/>
    <x v="1"/>
    <s v="🚺"/>
    <n v="3"/>
    <x v="0"/>
    <x v="0"/>
    <s v="Sin agravantes"/>
    <s v="No aplica"/>
    <x v="0"/>
    <x v="0"/>
    <s v="En investigación"/>
    <s v="112"/>
  </r>
  <r>
    <n v="215"/>
    <x v="209"/>
    <x v="209"/>
    <x v="209"/>
    <x v="5"/>
    <x v="206"/>
    <x v="3"/>
    <x v="5"/>
    <s v="-31,3477902896523, -64,2644406169297"/>
    <d v="2000-08-13T00:00:00"/>
    <n v="23"/>
    <x v="1"/>
    <x v="0"/>
    <s v="🚺"/>
    <x v="2"/>
    <d v="1973-08-12T00:00:00"/>
    <n v="50"/>
    <x v="4"/>
    <x v="0"/>
    <s v="🚹"/>
    <n v="1"/>
    <x v="0"/>
    <x v="1"/>
    <s v="No aplica"/>
    <s v="Auto modelo XXX, patente XXX XXX"/>
    <x v="1"/>
    <x v="0"/>
    <s v="En investigación"/>
    <s v="248"/>
  </r>
  <r>
    <n v="807"/>
    <x v="210"/>
    <x v="210"/>
    <x v="210"/>
    <x v="1"/>
    <x v="207"/>
    <x v="6"/>
    <x v="6"/>
    <s v="-31,3909520937826, -64,1836424491715"/>
    <d v="1958-05-17T00:00:00"/>
    <n v="59"/>
    <x v="5"/>
    <x v="0"/>
    <s v="🚺"/>
    <x v="3"/>
    <d v="1963-06-11T00:00:00"/>
    <n v="54"/>
    <x v="4"/>
    <x v="0"/>
    <s v="🚹"/>
    <n v="1"/>
    <x v="1"/>
    <x v="0"/>
    <s v="No aplica"/>
    <s v="Estafa bancaria"/>
    <x v="0"/>
    <x v="0"/>
    <s v="Abierto"/>
    <s v="No aplica"/>
  </r>
  <r>
    <n v="218"/>
    <x v="211"/>
    <x v="211"/>
    <x v="211"/>
    <x v="0"/>
    <x v="72"/>
    <x v="8"/>
    <x v="3"/>
    <s v="-31,4148488101991, -64,1793406489438"/>
    <d v="1987-03-17T00:00:00"/>
    <n v="28"/>
    <x v="3"/>
    <x v="0"/>
    <s v="🚺"/>
    <x v="2"/>
    <d v="1996-12-05T00:00:00"/>
    <n v="18"/>
    <x v="3"/>
    <x v="1"/>
    <s v="🚺"/>
    <n v="1"/>
    <x v="0"/>
    <x v="1"/>
    <s v="No aplica"/>
    <s v="Celular, tarjetas bancarias"/>
    <x v="0"/>
    <x v="1"/>
    <s v="Cerrado"/>
    <s v="115"/>
  </r>
  <r>
    <n v="343"/>
    <x v="212"/>
    <x v="212"/>
    <x v="212"/>
    <x v="1"/>
    <x v="19"/>
    <x v="3"/>
    <x v="6"/>
    <s v="-31,3909520937826, -64,1836424491715"/>
    <d v="1954-12-27T00:00:00"/>
    <n v="62"/>
    <x v="5"/>
    <x v="0"/>
    <s v="🚺"/>
    <x v="3"/>
    <d v="1971-09-22T00:00:00"/>
    <n v="45"/>
    <x v="1"/>
    <x v="1"/>
    <s v="🚺"/>
    <n v="1"/>
    <x v="1"/>
    <x v="0"/>
    <s v="No aplica"/>
    <s v="No aplica"/>
    <x v="0"/>
    <x v="0"/>
    <s v="Cerrado"/>
    <s v="No aplica"/>
  </r>
  <r>
    <n v="220"/>
    <x v="213"/>
    <x v="213"/>
    <x v="213"/>
    <x v="2"/>
    <x v="208"/>
    <x v="7"/>
    <x v="6"/>
    <s v="-31,3909520937826, -64,1836424491715"/>
    <d v="1951-11-16T00:00:00"/>
    <n v="66"/>
    <x v="4"/>
    <x v="0"/>
    <s v="🚺"/>
    <x v="4"/>
    <d v="1943-01-28T00:00:00"/>
    <n v="75"/>
    <x v="0"/>
    <x v="1"/>
    <s v="🚺"/>
    <n v="1"/>
    <x v="0"/>
    <x v="0"/>
    <s v="No aplica"/>
    <s v="Cartera con documentación"/>
    <x v="1"/>
    <x v="0"/>
    <s v="Abierto"/>
    <s v="191"/>
  </r>
  <r>
    <n v="459"/>
    <x v="214"/>
    <x v="214"/>
    <x v="214"/>
    <x v="5"/>
    <x v="209"/>
    <x v="2"/>
    <x v="6"/>
    <s v="-31,3909520937826, -64,1836424491715"/>
    <d v="1997-07-09T00:00:00"/>
    <n v="19"/>
    <x v="1"/>
    <x v="0"/>
    <s v="🚺"/>
    <x v="3"/>
    <d v="1955-11-04T00:00:00"/>
    <n v="61"/>
    <x v="2"/>
    <x v="0"/>
    <s v="🚹"/>
    <n v="2"/>
    <x v="1"/>
    <x v="0"/>
    <s v="No aplica"/>
    <s v="Vidrios de comercio rotos"/>
    <x v="1"/>
    <x v="1"/>
    <s v="En investigación"/>
    <s v="No aplica"/>
  </r>
  <r>
    <n v="221"/>
    <x v="215"/>
    <x v="215"/>
    <x v="215"/>
    <x v="0"/>
    <x v="3"/>
    <x v="0"/>
    <x v="7"/>
    <s v="-31,4015892433235, -64,160442876477"/>
    <d v="1984-03-18T00:00:00"/>
    <n v="39"/>
    <x v="6"/>
    <x v="1"/>
    <s v="🚹"/>
    <x v="4"/>
    <d v="1958-01-27T00:00:00"/>
    <n v="65"/>
    <x v="0"/>
    <x v="0"/>
    <s v="🚹"/>
    <n v="3"/>
    <x v="0"/>
    <x v="0"/>
    <s v="Por vínculo"/>
    <s v="No aplica"/>
    <x v="1"/>
    <x v="0"/>
    <s v="En investigación"/>
    <s v="111"/>
  </r>
  <r>
    <n v="222"/>
    <x v="216"/>
    <x v="216"/>
    <x v="216"/>
    <x v="5"/>
    <x v="210"/>
    <x v="2"/>
    <x v="9"/>
    <s v="-31,4076397196409, -64,2020170430678"/>
    <d v="1966-10-26T00:00:00"/>
    <n v="52"/>
    <x v="0"/>
    <x v="0"/>
    <s v="🚺"/>
    <x v="2"/>
    <d v="1969-11-16T00:00:00"/>
    <n v="49"/>
    <x v="4"/>
    <x v="0"/>
    <s v="🚹"/>
    <n v="1"/>
    <x v="0"/>
    <x v="0"/>
    <s v="Con ensañamiento"/>
    <s v="No aplica"/>
    <x v="1"/>
    <x v="0"/>
    <s v="Cerrado"/>
    <s v="214"/>
  </r>
  <r>
    <n v="368"/>
    <x v="217"/>
    <x v="217"/>
    <x v="217"/>
    <x v="4"/>
    <x v="211"/>
    <x v="6"/>
    <x v="3"/>
    <s v="-31,4148488101991, -64,1793406489438"/>
    <d v="1999-12-10T00:00:00"/>
    <n v="17"/>
    <x v="2"/>
    <x v="0"/>
    <s v="🚺"/>
    <x v="2"/>
    <d v="1978-10-07T00:00:00"/>
    <n v="38"/>
    <x v="1"/>
    <x v="1"/>
    <s v="🚺"/>
    <n v="2"/>
    <x v="1"/>
    <x v="0"/>
    <s v="No aplica"/>
    <s v="Dinero público desviado"/>
    <x v="1"/>
    <x v="0"/>
    <s v="Cerrado"/>
    <s v="No aplica"/>
  </r>
  <r>
    <n v="225"/>
    <x v="218"/>
    <x v="218"/>
    <x v="218"/>
    <x v="0"/>
    <x v="212"/>
    <x v="2"/>
    <x v="9"/>
    <s v="-31,4076397196409, -64,2020170430678"/>
    <d v="1953-10-25T00:00:00"/>
    <n v="70"/>
    <x v="4"/>
    <x v="1"/>
    <s v="🚹"/>
    <x v="0"/>
    <d v="1956-09-27T00:00:00"/>
    <n v="67"/>
    <x v="0"/>
    <x v="0"/>
    <s v="🚹"/>
    <n v="1"/>
    <x v="0"/>
    <x v="0"/>
    <s v="Con ensañamiento"/>
    <s v="No aplica"/>
    <x v="0"/>
    <x v="0"/>
    <s v="Cerrado"/>
    <s v="162"/>
  </r>
  <r>
    <n v="226"/>
    <x v="219"/>
    <x v="219"/>
    <x v="219"/>
    <x v="0"/>
    <x v="211"/>
    <x v="6"/>
    <x v="2"/>
    <s v="-31,334500143441, -64,2460773260564"/>
    <d v="2005-05-23T00:00:00"/>
    <n v="12"/>
    <x v="2"/>
    <x v="0"/>
    <s v="🚺"/>
    <x v="3"/>
    <d v="1950-01-25T00:00:00"/>
    <n v="68"/>
    <x v="0"/>
    <x v="0"/>
    <s v="🚹"/>
    <n v="3"/>
    <x v="0"/>
    <x v="0"/>
    <s v="No aplica"/>
    <s v="Evasión fiscal"/>
    <x v="0"/>
    <x v="0"/>
    <s v="Abierto"/>
    <s v="170"/>
  </r>
  <r>
    <n v="941"/>
    <x v="220"/>
    <x v="220"/>
    <x v="220"/>
    <x v="6"/>
    <x v="213"/>
    <x v="5"/>
    <x v="6"/>
    <s v="-31,3909520937826, -64,1836424491715"/>
    <d v="1957-08-06T00:00:00"/>
    <n v="60"/>
    <x v="5"/>
    <x v="1"/>
    <s v="🚹"/>
    <x v="2"/>
    <d v="1947-04-21T00:00:00"/>
    <n v="70"/>
    <x v="0"/>
    <x v="0"/>
    <s v="🚹"/>
    <n v="3"/>
    <x v="1"/>
    <x v="0"/>
    <s v="No aplica"/>
    <s v="No aplica"/>
    <x v="0"/>
    <x v="0"/>
    <s v="Abierto"/>
    <s v="No aplica"/>
  </r>
  <r>
    <n v="784"/>
    <x v="221"/>
    <x v="221"/>
    <x v="221"/>
    <x v="3"/>
    <x v="214"/>
    <x v="1"/>
    <x v="3"/>
    <s v="-31,4148488101991, -64,1793406489438"/>
    <d v="2006-02-05T00:00:00"/>
    <n v="11"/>
    <x v="2"/>
    <x v="1"/>
    <s v="🚹"/>
    <x v="2"/>
    <d v="1964-01-22T00:00:00"/>
    <n v="53"/>
    <x v="4"/>
    <x v="0"/>
    <s v="🚹"/>
    <n v="2"/>
    <x v="1"/>
    <x v="0"/>
    <s v="Alevosía"/>
    <s v="No aplica"/>
    <x v="1"/>
    <x v="0"/>
    <s v="Cerrado"/>
    <s v="No aplica"/>
  </r>
  <r>
    <n v="228"/>
    <x v="222"/>
    <x v="222"/>
    <x v="222"/>
    <x v="1"/>
    <x v="47"/>
    <x v="3"/>
    <x v="9"/>
    <s v="-31,4076397196409, -64,2020170430678"/>
    <d v="1991-10-10T00:00:00"/>
    <n v="24"/>
    <x v="1"/>
    <x v="1"/>
    <s v="🚹"/>
    <x v="4"/>
    <d v="1945-08-01T00:00:00"/>
    <n v="70"/>
    <x v="0"/>
    <x v="0"/>
    <s v="🚹"/>
    <n v="1"/>
    <x v="0"/>
    <x v="0"/>
    <s v="No aplica"/>
    <s v="Estafa bancaria"/>
    <x v="0"/>
    <x v="0"/>
    <s v="Abierto"/>
    <s v="73"/>
  </r>
  <r>
    <n v="229"/>
    <x v="223"/>
    <x v="223"/>
    <x v="223"/>
    <x v="4"/>
    <x v="215"/>
    <x v="11"/>
    <x v="4"/>
    <s v="-31,3759272890294, -64,2284587792478"/>
    <d v="1965-04-27T00:00:00"/>
    <n v="51"/>
    <x v="0"/>
    <x v="1"/>
    <s v="🚹"/>
    <x v="3"/>
    <d v="1995-09-27T00:00:00"/>
    <n v="20"/>
    <x v="3"/>
    <x v="0"/>
    <s v="🚹"/>
    <n v="2"/>
    <x v="0"/>
    <x v="0"/>
    <s v="No aplica"/>
    <s v="Grafitis en edificios públicos"/>
    <x v="0"/>
    <x v="1"/>
    <s v="Cerrado"/>
    <s v="159"/>
  </r>
  <r>
    <n v="233"/>
    <x v="224"/>
    <x v="224"/>
    <x v="224"/>
    <x v="1"/>
    <x v="216"/>
    <x v="9"/>
    <x v="1"/>
    <s v="-31,4129883640337, -64,1681120522587"/>
    <d v="1979-12-16T00:00:00"/>
    <n v="42"/>
    <x v="6"/>
    <x v="0"/>
    <s v="🚺"/>
    <x v="3"/>
    <d v="1960-11-23T00:00:00"/>
    <n v="61"/>
    <x v="2"/>
    <x v="0"/>
    <s v="🚹"/>
    <n v="2"/>
    <x v="0"/>
    <x v="0"/>
    <s v="No aplica"/>
    <s v="Pasta base"/>
    <x v="1"/>
    <x v="1"/>
    <s v="Abierto"/>
    <s v="6"/>
  </r>
  <r>
    <n v="814"/>
    <x v="225"/>
    <x v="225"/>
    <x v="225"/>
    <x v="1"/>
    <x v="185"/>
    <x v="10"/>
    <x v="9"/>
    <s v="-31,4076397196409, -64,2020170430678"/>
    <d v="1996-10-18T00:00:00"/>
    <n v="20"/>
    <x v="1"/>
    <x v="1"/>
    <s v="🚹"/>
    <x v="4"/>
    <d v="1973-11-03T00:00:00"/>
    <n v="43"/>
    <x v="1"/>
    <x v="1"/>
    <s v="🚺"/>
    <n v="1"/>
    <x v="1"/>
    <x v="2"/>
    <s v="No aplica"/>
    <s v="Auto modelo XXX, patente XXX XXX"/>
    <x v="0"/>
    <x v="1"/>
    <s v="Cerrado"/>
    <s v="No aplica"/>
  </r>
  <r>
    <n v="231"/>
    <x v="226"/>
    <x v="226"/>
    <x v="226"/>
    <x v="6"/>
    <x v="57"/>
    <x v="1"/>
    <x v="2"/>
    <s v="-31,334500143441, -64,2460773260564"/>
    <d v="1992-02-04T00:00:00"/>
    <n v="25"/>
    <x v="1"/>
    <x v="1"/>
    <s v="🚹"/>
    <x v="3"/>
    <d v="1952-07-26T00:00:00"/>
    <n v="65"/>
    <x v="0"/>
    <x v="1"/>
    <s v="🚺"/>
    <n v="1"/>
    <x v="1"/>
    <x v="3"/>
    <s v="Sin agravantes"/>
    <s v="No aplica"/>
    <x v="0"/>
    <x v="0"/>
    <s v="Abierto"/>
    <s v="No aplica"/>
  </r>
  <r>
    <n v="236"/>
    <x v="227"/>
    <x v="227"/>
    <x v="227"/>
    <x v="3"/>
    <x v="217"/>
    <x v="0"/>
    <x v="3"/>
    <s v="-31,4148488101991, -64,1793406489438"/>
    <d v="1986-09-21T00:00:00"/>
    <n v="35"/>
    <x v="3"/>
    <x v="1"/>
    <s v="🚹"/>
    <x v="4"/>
    <d v="1982-09-09T00:00:00"/>
    <n v="39"/>
    <x v="1"/>
    <x v="0"/>
    <s v="🚹"/>
    <n v="3"/>
    <x v="0"/>
    <x v="0"/>
    <s v="Por vínculo"/>
    <s v="No aplica"/>
    <x v="1"/>
    <x v="0"/>
    <s v="Cerrado"/>
    <s v="190"/>
  </r>
  <r>
    <n v="879"/>
    <x v="228"/>
    <x v="228"/>
    <x v="228"/>
    <x v="5"/>
    <x v="218"/>
    <x v="5"/>
    <x v="6"/>
    <s v="-31,3909520937826, -64,1836424491715"/>
    <d v="1965-05-20T00:00:00"/>
    <n v="52"/>
    <x v="0"/>
    <x v="1"/>
    <s v="🚹"/>
    <x v="0"/>
    <d v="1949-06-07T00:00:00"/>
    <n v="68"/>
    <x v="0"/>
    <x v="0"/>
    <s v="🚹"/>
    <n v="1"/>
    <x v="1"/>
    <x v="0"/>
    <s v="No aplica"/>
    <s v="Dinero público desviado"/>
    <x v="0"/>
    <x v="0"/>
    <s v="Cerrado"/>
    <s v="No aplica"/>
  </r>
  <r>
    <n v="237"/>
    <x v="229"/>
    <x v="229"/>
    <x v="229"/>
    <x v="6"/>
    <x v="11"/>
    <x v="6"/>
    <x v="0"/>
    <s v="-31,4800162965848, -64,2094200976892"/>
    <d v="1978-02-06T00:00:00"/>
    <n v="43"/>
    <x v="6"/>
    <x v="1"/>
    <s v="🚹"/>
    <x v="0"/>
    <d v="2006-04-26T00:00:00"/>
    <n v="15"/>
    <x v="5"/>
    <x v="0"/>
    <s v="🚹"/>
    <n v="2"/>
    <x v="0"/>
    <x v="4"/>
    <s v="No aplica"/>
    <s v="Billetera con $15,000 ARG"/>
    <x v="0"/>
    <x v="1"/>
    <s v="En investigación"/>
    <s v="197"/>
  </r>
  <r>
    <n v="240"/>
    <x v="230"/>
    <x v="230"/>
    <x v="230"/>
    <x v="2"/>
    <x v="219"/>
    <x v="1"/>
    <x v="6"/>
    <s v="-31,3909520937826, -64,1836424491715"/>
    <d v="1985-09-02T00:00:00"/>
    <n v="34"/>
    <x v="3"/>
    <x v="1"/>
    <s v="🚹"/>
    <x v="4"/>
    <d v="1984-07-03T00:00:00"/>
    <n v="35"/>
    <x v="6"/>
    <x v="0"/>
    <s v="🚹"/>
    <n v="2"/>
    <x v="0"/>
    <x v="3"/>
    <s v="Por vínculo"/>
    <s v="No aplica"/>
    <x v="0"/>
    <x v="0"/>
    <s v="Cerrado"/>
    <s v="151"/>
  </r>
  <r>
    <n v="241"/>
    <x v="231"/>
    <x v="231"/>
    <x v="231"/>
    <x v="3"/>
    <x v="220"/>
    <x v="0"/>
    <x v="5"/>
    <s v="-31,3477902896523, -64,2644406169297"/>
    <d v="1972-03-09T00:00:00"/>
    <n v="46"/>
    <x v="0"/>
    <x v="0"/>
    <s v="🚺"/>
    <x v="0"/>
    <d v="1983-01-12T00:00:00"/>
    <n v="35"/>
    <x v="6"/>
    <x v="1"/>
    <s v="🚺"/>
    <n v="2"/>
    <x v="0"/>
    <x v="2"/>
    <s v="No aplica"/>
    <s v="Billetera con $15,000 ARG"/>
    <x v="1"/>
    <x v="1"/>
    <s v="En investigación"/>
    <s v="245"/>
  </r>
  <r>
    <n v="354"/>
    <x v="232"/>
    <x v="232"/>
    <x v="232"/>
    <x v="4"/>
    <x v="221"/>
    <x v="7"/>
    <x v="5"/>
    <s v="-31,3477902896523, -64,2644406169297"/>
    <d v="1950-07-26T00:00:00"/>
    <n v="67"/>
    <x v="4"/>
    <x v="1"/>
    <s v="🚹"/>
    <x v="0"/>
    <d v="1999-09-10T00:00:00"/>
    <n v="18"/>
    <x v="3"/>
    <x v="1"/>
    <s v="🚺"/>
    <n v="2"/>
    <x v="1"/>
    <x v="0"/>
    <s v="No aplica"/>
    <s v="Grafitis en edificios públicos"/>
    <x v="1"/>
    <x v="1"/>
    <s v="Abierto"/>
    <s v="No aplica"/>
  </r>
  <r>
    <n v="680"/>
    <x v="232"/>
    <x v="232"/>
    <x v="232"/>
    <x v="4"/>
    <x v="222"/>
    <x v="7"/>
    <x v="2"/>
    <s v="-31,334500143441, -64,2460773260564"/>
    <d v="1984-06-14T00:00:00"/>
    <n v="33"/>
    <x v="3"/>
    <x v="0"/>
    <s v="🚺"/>
    <x v="3"/>
    <d v="1957-09-28T00:00:00"/>
    <n v="60"/>
    <x v="2"/>
    <x v="0"/>
    <s v="🚹"/>
    <n v="2"/>
    <x v="1"/>
    <x v="0"/>
    <s v="No aplica"/>
    <s v="Contrato fraudulento"/>
    <x v="0"/>
    <x v="1"/>
    <s v="Cerrado"/>
    <s v="No aplica"/>
  </r>
  <r>
    <n v="790"/>
    <x v="233"/>
    <x v="233"/>
    <x v="233"/>
    <x v="4"/>
    <x v="223"/>
    <x v="9"/>
    <x v="3"/>
    <s v="-31,4148488101991, -64,1793406489438"/>
    <d v="1991-04-23T00:00:00"/>
    <n v="26"/>
    <x v="3"/>
    <x v="1"/>
    <s v="🚹"/>
    <x v="4"/>
    <d v="1984-08-04T00:00:00"/>
    <n v="33"/>
    <x v="6"/>
    <x v="0"/>
    <s v="🚹"/>
    <n v="1"/>
    <x v="1"/>
    <x v="0"/>
    <s v="No aplica"/>
    <s v="No aplica"/>
    <x v="1"/>
    <x v="1"/>
    <s v="En investigación"/>
    <s v="No aplica"/>
  </r>
  <r>
    <n v="213"/>
    <x v="234"/>
    <x v="234"/>
    <x v="234"/>
    <x v="6"/>
    <x v="224"/>
    <x v="0"/>
    <x v="11"/>
    <s v="-31,4506257494184, -64,1733054344705"/>
    <d v="1957-08-10T00:00:00"/>
    <n v="60"/>
    <x v="5"/>
    <x v="1"/>
    <s v="🚹"/>
    <x v="1"/>
    <d v="1977-03-16T00:00:00"/>
    <n v="40"/>
    <x v="1"/>
    <x v="1"/>
    <s v="🚺"/>
    <n v="1"/>
    <x v="1"/>
    <x v="1"/>
    <s v="Sin agravantes"/>
    <s v="No aplica"/>
    <x v="0"/>
    <x v="0"/>
    <s v="En investigación"/>
    <s v="No aplica"/>
  </r>
  <r>
    <n v="155"/>
    <x v="235"/>
    <x v="235"/>
    <x v="235"/>
    <x v="4"/>
    <x v="225"/>
    <x v="5"/>
    <x v="8"/>
    <s v="-31,423018915313, -64,1493562190664"/>
    <d v="1965-07-10T00:00:00"/>
    <n v="52"/>
    <x v="0"/>
    <x v="1"/>
    <s v="🚹"/>
    <x v="1"/>
    <d v="1979-02-16T00:00:00"/>
    <n v="38"/>
    <x v="1"/>
    <x v="1"/>
    <s v="🚺"/>
    <n v="2"/>
    <x v="1"/>
    <x v="0"/>
    <s v="No aplica"/>
    <s v="Vidrios de comercio rotos"/>
    <x v="1"/>
    <x v="0"/>
    <s v="En investigación"/>
    <s v="No aplica"/>
  </r>
  <r>
    <n v="242"/>
    <x v="236"/>
    <x v="236"/>
    <x v="236"/>
    <x v="3"/>
    <x v="226"/>
    <x v="10"/>
    <x v="8"/>
    <s v="-31,423018915313, -64,1493562190664"/>
    <d v="1985-03-19T00:00:00"/>
    <n v="34"/>
    <x v="3"/>
    <x v="1"/>
    <s v="🚹"/>
    <x v="3"/>
    <d v="1977-04-21T00:00:00"/>
    <n v="42"/>
    <x v="1"/>
    <x v="0"/>
    <s v="🚹"/>
    <n v="2"/>
    <x v="0"/>
    <x v="0"/>
    <s v="No aplica"/>
    <s v="5kg de cocaína"/>
    <x v="1"/>
    <x v="0"/>
    <s v="En investigación"/>
    <s v="126"/>
  </r>
  <r>
    <n v="621"/>
    <x v="82"/>
    <x v="82"/>
    <x v="82"/>
    <x v="5"/>
    <x v="227"/>
    <x v="5"/>
    <x v="2"/>
    <s v="-31,334500143441, -64,2460773260564"/>
    <d v="1988-05-24T00:00:00"/>
    <n v="29"/>
    <x v="3"/>
    <x v="0"/>
    <s v="🚺"/>
    <x v="3"/>
    <d v="1963-07-02T00:00:00"/>
    <n v="54"/>
    <x v="4"/>
    <x v="0"/>
    <s v="🚹"/>
    <n v="1"/>
    <x v="1"/>
    <x v="0"/>
    <s v="No aplica"/>
    <s v="Dinero público desviado"/>
    <x v="1"/>
    <x v="1"/>
    <s v="Abierto"/>
    <s v="No aplica"/>
  </r>
  <r>
    <n v="127"/>
    <x v="237"/>
    <x v="237"/>
    <x v="237"/>
    <x v="1"/>
    <x v="228"/>
    <x v="9"/>
    <x v="6"/>
    <s v="-31,3909520937826, -64,1836424491715"/>
    <d v="1993-08-27T00:00:00"/>
    <n v="24"/>
    <x v="1"/>
    <x v="1"/>
    <s v="🚹"/>
    <x v="2"/>
    <d v="1967-05-22T00:00:00"/>
    <n v="50"/>
    <x v="4"/>
    <x v="1"/>
    <s v="🚺"/>
    <n v="2"/>
    <x v="1"/>
    <x v="0"/>
    <s v="No aplica"/>
    <s v="Bicicleta"/>
    <x v="1"/>
    <x v="1"/>
    <s v="Abierto"/>
    <s v="No aplica"/>
  </r>
  <r>
    <n v="579"/>
    <x v="237"/>
    <x v="237"/>
    <x v="237"/>
    <x v="1"/>
    <x v="229"/>
    <x v="7"/>
    <x v="7"/>
    <s v="-31,4015892433235, -64,160442876477"/>
    <d v="1996-10-07T00:00:00"/>
    <n v="21"/>
    <x v="1"/>
    <x v="0"/>
    <s v="🚺"/>
    <x v="0"/>
    <d v="1980-01-24T00:00:00"/>
    <n v="37"/>
    <x v="1"/>
    <x v="1"/>
    <s v="🚺"/>
    <n v="2"/>
    <x v="1"/>
    <x v="2"/>
    <s v="Sin agravantes"/>
    <s v="No aplica"/>
    <x v="1"/>
    <x v="0"/>
    <s v="En investigación"/>
    <s v="No aplica"/>
  </r>
  <r>
    <n v="842"/>
    <x v="237"/>
    <x v="237"/>
    <x v="237"/>
    <x v="1"/>
    <x v="230"/>
    <x v="8"/>
    <x v="7"/>
    <s v="-31,4015892433235, -64,160442876477"/>
    <d v="1976-01-05T00:00:00"/>
    <n v="41"/>
    <x v="6"/>
    <x v="0"/>
    <s v="🚺"/>
    <x v="0"/>
    <d v="1951-04-12T00:00:00"/>
    <n v="66"/>
    <x v="0"/>
    <x v="1"/>
    <s v="🚺"/>
    <n v="2"/>
    <x v="1"/>
    <x v="0"/>
    <s v="No aplica"/>
    <s v="Vidrios de comercio rotos"/>
    <x v="1"/>
    <x v="0"/>
    <s v="Cerrado"/>
    <s v="No aplica"/>
  </r>
  <r>
    <n v="245"/>
    <x v="238"/>
    <x v="238"/>
    <x v="238"/>
    <x v="1"/>
    <x v="231"/>
    <x v="2"/>
    <x v="10"/>
    <s v="-31,4285567311661, -64,1853198281007"/>
    <d v="1976-06-08T00:00:00"/>
    <n v="47"/>
    <x v="0"/>
    <x v="0"/>
    <s v="🚺"/>
    <x v="1"/>
    <d v="1959-10-05T00:00:00"/>
    <n v="63"/>
    <x v="2"/>
    <x v="1"/>
    <s v="🚺"/>
    <n v="2"/>
    <x v="0"/>
    <x v="0"/>
    <s v="No aplica"/>
    <s v="Lavado de dinero"/>
    <x v="1"/>
    <x v="1"/>
    <s v="Abierto"/>
    <s v="219"/>
  </r>
  <r>
    <n v="246"/>
    <x v="239"/>
    <x v="239"/>
    <x v="239"/>
    <x v="6"/>
    <x v="232"/>
    <x v="3"/>
    <x v="10"/>
    <s v="-31,4285567311661, -64,1853198281007"/>
    <d v="2003-05-25T00:00:00"/>
    <n v="11"/>
    <x v="2"/>
    <x v="1"/>
    <s v="🚹"/>
    <x v="3"/>
    <d v="1986-06-27T00:00:00"/>
    <n v="28"/>
    <x v="6"/>
    <x v="0"/>
    <s v="🚹"/>
    <n v="3"/>
    <x v="0"/>
    <x v="0"/>
    <s v="No aplica"/>
    <s v="Lavado de dinero"/>
    <x v="1"/>
    <x v="0"/>
    <s v="En investigación"/>
    <s v="184"/>
  </r>
  <r>
    <n v="277"/>
    <x v="240"/>
    <x v="240"/>
    <x v="240"/>
    <x v="2"/>
    <x v="233"/>
    <x v="10"/>
    <x v="5"/>
    <s v="-31,3477902896523, -64,2644406169297"/>
    <d v="1960-05-28T00:00:00"/>
    <n v="57"/>
    <x v="5"/>
    <x v="0"/>
    <s v="🚺"/>
    <x v="0"/>
    <d v="2012-06-01T00:00:00"/>
    <n v="5"/>
    <x v="5"/>
    <x v="1"/>
    <s v="🚺"/>
    <n v="1"/>
    <x v="1"/>
    <x v="0"/>
    <s v="No aplica"/>
    <s v="Evasión fiscal"/>
    <x v="1"/>
    <x v="1"/>
    <s v="Abierto"/>
    <s v="No aplica"/>
  </r>
  <r>
    <n v="523"/>
    <x v="241"/>
    <x v="241"/>
    <x v="241"/>
    <x v="3"/>
    <x v="234"/>
    <x v="8"/>
    <x v="7"/>
    <s v="-31,4015892433235, -64,160442876477"/>
    <d v="1978-02-27T00:00:00"/>
    <n v="39"/>
    <x v="6"/>
    <x v="0"/>
    <s v="🚺"/>
    <x v="2"/>
    <d v="2001-09-27T00:00:00"/>
    <n v="16"/>
    <x v="5"/>
    <x v="1"/>
    <s v="🚺"/>
    <n v="2"/>
    <x v="1"/>
    <x v="0"/>
    <s v="Alevosía"/>
    <s v="No aplica"/>
    <x v="0"/>
    <x v="1"/>
    <s v="Abierto"/>
    <s v="No aplica"/>
  </r>
  <r>
    <n v="247"/>
    <x v="242"/>
    <x v="242"/>
    <x v="242"/>
    <x v="0"/>
    <x v="152"/>
    <x v="0"/>
    <x v="8"/>
    <s v="-31,423018915313, -64,1493562190664"/>
    <d v="2003-06-11T00:00:00"/>
    <n v="16"/>
    <x v="2"/>
    <x v="1"/>
    <s v="🚹"/>
    <x v="2"/>
    <d v="1968-03-12T00:00:00"/>
    <n v="51"/>
    <x v="4"/>
    <x v="0"/>
    <s v="🚹"/>
    <n v="1"/>
    <x v="0"/>
    <x v="0"/>
    <s v="No aplica"/>
    <s v="Evasión fiscal"/>
    <x v="1"/>
    <x v="0"/>
    <s v="Abierto"/>
    <s v="64"/>
  </r>
  <r>
    <n v="249"/>
    <x v="243"/>
    <x v="243"/>
    <x v="243"/>
    <x v="5"/>
    <x v="119"/>
    <x v="5"/>
    <x v="1"/>
    <s v="-31,4129883640337, -64,1681120522587"/>
    <d v="1958-12-14T00:00:00"/>
    <n v="63"/>
    <x v="5"/>
    <x v="1"/>
    <s v="🚹"/>
    <x v="3"/>
    <d v="1958-10-21T00:00:00"/>
    <n v="64"/>
    <x v="2"/>
    <x v="0"/>
    <s v="🚹"/>
    <n v="1"/>
    <x v="0"/>
    <x v="3"/>
    <s v="Alevosía"/>
    <s v="No aplica"/>
    <x v="0"/>
    <x v="1"/>
    <s v="En investigación"/>
    <s v="157"/>
  </r>
  <r>
    <n v="250"/>
    <x v="244"/>
    <x v="244"/>
    <x v="244"/>
    <x v="5"/>
    <x v="235"/>
    <x v="3"/>
    <x v="6"/>
    <s v="-31,3909520937826, -64,1836424491715"/>
    <d v="2004-11-10T00:00:00"/>
    <n v="15"/>
    <x v="2"/>
    <x v="0"/>
    <s v="🚺"/>
    <x v="1"/>
    <d v="1963-03-15T00:00:00"/>
    <n v="56"/>
    <x v="2"/>
    <x v="0"/>
    <s v="🚹"/>
    <n v="1"/>
    <x v="0"/>
    <x v="0"/>
    <s v="No aplica"/>
    <s v="Evasión fiscal"/>
    <x v="1"/>
    <x v="0"/>
    <s v="Cerrado"/>
    <s v="284"/>
  </r>
  <r>
    <n v="412"/>
    <x v="245"/>
    <x v="245"/>
    <x v="245"/>
    <x v="2"/>
    <x v="236"/>
    <x v="11"/>
    <x v="9"/>
    <s v="-31,4076397196409, -64,2020170430678"/>
    <d v="1963-04-28T00:00:00"/>
    <n v="54"/>
    <x v="0"/>
    <x v="0"/>
    <s v="🚺"/>
    <x v="1"/>
    <d v="1994-08-18T00:00:00"/>
    <n v="23"/>
    <x v="3"/>
    <x v="0"/>
    <s v="🚹"/>
    <n v="2"/>
    <x v="1"/>
    <x v="3"/>
    <s v="Alevosía"/>
    <s v="No aplica"/>
    <x v="0"/>
    <x v="0"/>
    <s v="Abierto"/>
    <s v="No aplica"/>
  </r>
  <r>
    <n v="18"/>
    <x v="246"/>
    <x v="246"/>
    <x v="246"/>
    <x v="6"/>
    <x v="237"/>
    <x v="8"/>
    <x v="3"/>
    <s v="-31,4148488101991, -64,1793406489438"/>
    <d v="1985-02-15T00:00:00"/>
    <n v="32"/>
    <x v="3"/>
    <x v="0"/>
    <s v="🚺"/>
    <x v="4"/>
    <d v="2014-10-22T00:00:00"/>
    <n v="3"/>
    <x v="5"/>
    <x v="1"/>
    <s v="🚺"/>
    <n v="1"/>
    <x v="1"/>
    <x v="0"/>
    <s v="No aplica"/>
    <s v="Contrato fraudulento"/>
    <x v="0"/>
    <x v="1"/>
    <s v="Cerrado"/>
    <s v="No aplica"/>
  </r>
  <r>
    <n v="251"/>
    <x v="247"/>
    <x v="247"/>
    <x v="247"/>
    <x v="3"/>
    <x v="238"/>
    <x v="11"/>
    <x v="1"/>
    <s v="-31,4129883640337, -64,1681120522587"/>
    <d v="1970-09-08T00:00:00"/>
    <n v="51"/>
    <x v="0"/>
    <x v="0"/>
    <s v="🚺"/>
    <x v="3"/>
    <d v="1983-01-18T00:00:00"/>
    <n v="39"/>
    <x v="1"/>
    <x v="1"/>
    <s v="🚺"/>
    <n v="3"/>
    <x v="0"/>
    <x v="1"/>
    <s v="Alevosía"/>
    <s v="No aplica"/>
    <x v="0"/>
    <x v="0"/>
    <s v="Cerrado"/>
    <s v="272"/>
  </r>
  <r>
    <n v="951"/>
    <x v="248"/>
    <x v="248"/>
    <x v="248"/>
    <x v="2"/>
    <x v="47"/>
    <x v="8"/>
    <x v="6"/>
    <s v="-31,3909520937826, -64,1836424491715"/>
    <d v="1988-06-24T00:00:00"/>
    <n v="29"/>
    <x v="3"/>
    <x v="0"/>
    <s v="🚺"/>
    <x v="2"/>
    <d v="1978-01-06T00:00:00"/>
    <n v="39"/>
    <x v="1"/>
    <x v="1"/>
    <s v="🚺"/>
    <n v="3"/>
    <x v="1"/>
    <x v="0"/>
    <s v="No aplica"/>
    <s v="Cuentas falsas"/>
    <x v="1"/>
    <x v="1"/>
    <s v="En investigación"/>
    <s v="No aplica"/>
  </r>
  <r>
    <n v="253"/>
    <x v="108"/>
    <x v="108"/>
    <x v="108"/>
    <x v="3"/>
    <x v="239"/>
    <x v="1"/>
    <x v="1"/>
    <s v="-31,4129883640337, -64,1681120522587"/>
    <d v="1991-09-11T00:00:00"/>
    <n v="24"/>
    <x v="1"/>
    <x v="0"/>
    <s v="🚺"/>
    <x v="1"/>
    <d v="1963-07-26T00:00:00"/>
    <n v="52"/>
    <x v="4"/>
    <x v="0"/>
    <s v="🚹"/>
    <n v="1"/>
    <x v="0"/>
    <x v="0"/>
    <s v="No aplica"/>
    <s v="Lavado de dinero"/>
    <x v="0"/>
    <x v="1"/>
    <s v="En investigación"/>
    <s v="202"/>
  </r>
  <r>
    <n v="254"/>
    <x v="249"/>
    <x v="249"/>
    <x v="249"/>
    <x v="0"/>
    <x v="240"/>
    <x v="4"/>
    <x v="3"/>
    <s v="-31,4148488101991, -64,1793406489438"/>
    <d v="1960-01-16T00:00:00"/>
    <n v="63"/>
    <x v="5"/>
    <x v="1"/>
    <s v="🚹"/>
    <x v="3"/>
    <d v="2009-04-17T00:00:00"/>
    <n v="14"/>
    <x v="5"/>
    <x v="0"/>
    <s v="🚹"/>
    <n v="1"/>
    <x v="0"/>
    <x v="0"/>
    <s v="Sin agravantes"/>
    <s v="No aplica"/>
    <x v="1"/>
    <x v="0"/>
    <s v="Cerrado"/>
    <s v="184"/>
  </r>
  <r>
    <n v="529"/>
    <x v="250"/>
    <x v="250"/>
    <x v="250"/>
    <x v="0"/>
    <x v="241"/>
    <x v="9"/>
    <x v="0"/>
    <s v="-31,4800162965848, -64,2094200976892"/>
    <d v="1997-09-24T00:00:00"/>
    <n v="20"/>
    <x v="1"/>
    <x v="0"/>
    <s v="🚺"/>
    <x v="0"/>
    <d v="1976-02-05T00:00:00"/>
    <n v="41"/>
    <x v="1"/>
    <x v="1"/>
    <s v="🚺"/>
    <n v="3"/>
    <x v="1"/>
    <x v="0"/>
    <s v="No aplica"/>
    <s v="Vidrios de comercio rotos"/>
    <x v="0"/>
    <x v="1"/>
    <s v="Abierto"/>
    <s v="No aplica"/>
  </r>
  <r>
    <n v="817"/>
    <x v="251"/>
    <x v="251"/>
    <x v="251"/>
    <x v="1"/>
    <x v="242"/>
    <x v="2"/>
    <x v="7"/>
    <s v="-31,4015892433235, -64,160442876477"/>
    <d v="1962-10-04T00:00:00"/>
    <n v="55"/>
    <x v="0"/>
    <x v="0"/>
    <s v="🚺"/>
    <x v="0"/>
    <d v="1966-12-06T00:00:00"/>
    <n v="51"/>
    <x v="4"/>
    <x v="1"/>
    <s v="🚺"/>
    <n v="3"/>
    <x v="1"/>
    <x v="0"/>
    <s v="No aplica"/>
    <s v="No aplica"/>
    <x v="0"/>
    <x v="0"/>
    <s v="En investigación"/>
    <s v="No aplica"/>
  </r>
  <r>
    <n v="257"/>
    <x v="252"/>
    <x v="252"/>
    <x v="252"/>
    <x v="1"/>
    <x v="187"/>
    <x v="2"/>
    <x v="0"/>
    <s v="-31,4800162965848, -64,2094200976892"/>
    <d v="1962-01-11T00:00:00"/>
    <n v="62"/>
    <x v="5"/>
    <x v="0"/>
    <s v="🚺"/>
    <x v="4"/>
    <d v="1996-02-18T00:00:00"/>
    <n v="28"/>
    <x v="6"/>
    <x v="0"/>
    <s v="🚹"/>
    <n v="3"/>
    <x v="0"/>
    <x v="0"/>
    <s v="Por vínculo"/>
    <s v="No aplica"/>
    <x v="1"/>
    <x v="0"/>
    <s v="Abierto"/>
    <s v="293"/>
  </r>
  <r>
    <n v="577"/>
    <x v="253"/>
    <x v="253"/>
    <x v="253"/>
    <x v="1"/>
    <x v="243"/>
    <x v="8"/>
    <x v="7"/>
    <s v="-31,4015892433235, -64,160442876477"/>
    <d v="1978-11-16T00:00:00"/>
    <n v="39"/>
    <x v="6"/>
    <x v="1"/>
    <s v="🚹"/>
    <x v="4"/>
    <d v="2011-07-23T00:00:00"/>
    <n v="6"/>
    <x v="5"/>
    <x v="0"/>
    <s v="🚹"/>
    <n v="2"/>
    <x v="1"/>
    <x v="4"/>
    <s v="Alevosía"/>
    <s v="No aplica"/>
    <x v="0"/>
    <x v="1"/>
    <s v="Cerrado"/>
    <s v="No aplica"/>
  </r>
  <r>
    <n v="428"/>
    <x v="254"/>
    <x v="254"/>
    <x v="254"/>
    <x v="6"/>
    <x v="244"/>
    <x v="9"/>
    <x v="9"/>
    <s v="-31,4076397196409, -64,2020170430678"/>
    <d v="1953-03-04T00:00:00"/>
    <n v="64"/>
    <x v="5"/>
    <x v="0"/>
    <s v="🚺"/>
    <x v="4"/>
    <d v="1940-10-18T00:00:00"/>
    <n v="77"/>
    <x v="0"/>
    <x v="1"/>
    <s v="🚺"/>
    <n v="3"/>
    <x v="1"/>
    <x v="4"/>
    <s v="Alevosía"/>
    <s v="No aplica"/>
    <x v="1"/>
    <x v="0"/>
    <s v="Cerrado"/>
    <s v="No aplica"/>
  </r>
  <r>
    <n v="339"/>
    <x v="255"/>
    <x v="255"/>
    <x v="255"/>
    <x v="2"/>
    <x v="245"/>
    <x v="5"/>
    <x v="1"/>
    <s v="-31,4129883640337, -64,1681120522587"/>
    <d v="1994-05-12T00:00:00"/>
    <n v="23"/>
    <x v="1"/>
    <x v="1"/>
    <s v="🚹"/>
    <x v="3"/>
    <d v="1958-05-28T00:00:00"/>
    <n v="59"/>
    <x v="2"/>
    <x v="1"/>
    <s v="🚺"/>
    <n v="3"/>
    <x v="1"/>
    <x v="3"/>
    <s v="No aplica"/>
    <s v="Billetera con $15,000 ARG"/>
    <x v="1"/>
    <x v="1"/>
    <s v="En investigación"/>
    <s v="No aplica"/>
  </r>
  <r>
    <n v="259"/>
    <x v="256"/>
    <x v="256"/>
    <x v="256"/>
    <x v="2"/>
    <x v="246"/>
    <x v="6"/>
    <x v="0"/>
    <s v="-31,4800162965848, -64,2094200976892"/>
    <d v="1964-02-24T00:00:00"/>
    <n v="50"/>
    <x v="0"/>
    <x v="1"/>
    <s v="🚹"/>
    <x v="1"/>
    <d v="1953-12-13T00:00:00"/>
    <n v="61"/>
    <x v="2"/>
    <x v="1"/>
    <s v="🚺"/>
    <n v="3"/>
    <x v="0"/>
    <x v="0"/>
    <s v="Sin agravantes"/>
    <s v="No aplica"/>
    <x v="0"/>
    <x v="0"/>
    <s v="Cerrado"/>
    <s v="143"/>
  </r>
  <r>
    <n v="260"/>
    <x v="257"/>
    <x v="257"/>
    <x v="257"/>
    <x v="0"/>
    <x v="247"/>
    <x v="8"/>
    <x v="3"/>
    <s v="-31,4148488101991, -64,1793406489438"/>
    <d v="1989-03-10T00:00:00"/>
    <n v="33"/>
    <x v="3"/>
    <x v="0"/>
    <s v="🚺"/>
    <x v="2"/>
    <d v="1959-01-06T00:00:00"/>
    <n v="63"/>
    <x v="2"/>
    <x v="1"/>
    <s v="🚺"/>
    <n v="1"/>
    <x v="0"/>
    <x v="0"/>
    <s v="No aplica"/>
    <s v="5kg de cocaína"/>
    <x v="0"/>
    <x v="0"/>
    <s v="Cerrado"/>
    <s v="48"/>
  </r>
  <r>
    <n v="880"/>
    <x v="258"/>
    <x v="258"/>
    <x v="258"/>
    <x v="4"/>
    <x v="248"/>
    <x v="9"/>
    <x v="3"/>
    <s v="-31,4148488101991, -64,1793406489438"/>
    <d v="2006-12-23T00:00:00"/>
    <n v="11"/>
    <x v="2"/>
    <x v="1"/>
    <s v="🚹"/>
    <x v="1"/>
    <d v="2001-11-26T00:00:00"/>
    <n v="16"/>
    <x v="5"/>
    <x v="0"/>
    <s v="🚹"/>
    <n v="1"/>
    <x v="1"/>
    <x v="0"/>
    <s v="No aplica"/>
    <s v="Evasión fiscal"/>
    <x v="1"/>
    <x v="0"/>
    <s v="Abierto"/>
    <s v="No aplica"/>
  </r>
  <r>
    <n v="261"/>
    <x v="259"/>
    <x v="259"/>
    <x v="259"/>
    <x v="3"/>
    <x v="249"/>
    <x v="6"/>
    <x v="6"/>
    <s v="-31,3909520937826, -64,1836424491715"/>
    <d v="1981-08-06T00:00:00"/>
    <n v="41"/>
    <x v="6"/>
    <x v="0"/>
    <s v="🚺"/>
    <x v="1"/>
    <d v="1988-06-02T00:00:00"/>
    <n v="35"/>
    <x v="6"/>
    <x v="0"/>
    <s v="🚹"/>
    <n v="2"/>
    <x v="0"/>
    <x v="0"/>
    <s v="No aplica"/>
    <s v="Vidrios de comercio rotos"/>
    <x v="1"/>
    <x v="0"/>
    <s v="Cerrado"/>
    <s v="265"/>
  </r>
  <r>
    <n v="262"/>
    <x v="260"/>
    <x v="260"/>
    <x v="260"/>
    <x v="1"/>
    <x v="250"/>
    <x v="0"/>
    <x v="11"/>
    <s v="-31,4506257494184, -64,1733054344705"/>
    <d v="2001-08-16T00:00:00"/>
    <n v="16"/>
    <x v="2"/>
    <x v="0"/>
    <s v="🚺"/>
    <x v="3"/>
    <d v="1949-04-01T00:00:00"/>
    <n v="69"/>
    <x v="0"/>
    <x v="0"/>
    <s v="🚹"/>
    <n v="3"/>
    <x v="0"/>
    <x v="4"/>
    <s v="Con ensañamiento"/>
    <s v="No aplica"/>
    <x v="0"/>
    <x v="1"/>
    <s v="Cerrado"/>
    <s v="79"/>
  </r>
  <r>
    <n v="264"/>
    <x v="261"/>
    <x v="261"/>
    <x v="261"/>
    <x v="0"/>
    <x v="251"/>
    <x v="10"/>
    <x v="10"/>
    <s v="-31,4285567311661, -64,1853198281007"/>
    <d v="1985-06-19T00:00:00"/>
    <n v="35"/>
    <x v="3"/>
    <x v="0"/>
    <s v="🚺"/>
    <x v="0"/>
    <d v="1965-12-22T00:00:00"/>
    <n v="54"/>
    <x v="4"/>
    <x v="0"/>
    <s v="🚹"/>
    <n v="2"/>
    <x v="0"/>
    <x v="0"/>
    <s v="No aplica"/>
    <s v="Evasión fiscal"/>
    <x v="1"/>
    <x v="0"/>
    <s v="En investigación"/>
    <s v="139"/>
  </r>
  <r>
    <n v="265"/>
    <x v="262"/>
    <x v="262"/>
    <x v="262"/>
    <x v="5"/>
    <x v="252"/>
    <x v="8"/>
    <x v="4"/>
    <s v="-31,3759272890294, -64,2284587792478"/>
    <d v="1956-10-13T00:00:00"/>
    <n v="66"/>
    <x v="4"/>
    <x v="0"/>
    <s v="🚺"/>
    <x v="3"/>
    <d v="2004-09-10T00:00:00"/>
    <n v="18"/>
    <x v="3"/>
    <x v="1"/>
    <s v="🚺"/>
    <n v="3"/>
    <x v="0"/>
    <x v="0"/>
    <s v="No aplica"/>
    <s v="Celular"/>
    <x v="1"/>
    <x v="0"/>
    <s v="Cerrado"/>
    <s v="193"/>
  </r>
  <r>
    <n v="964"/>
    <x v="263"/>
    <x v="263"/>
    <x v="263"/>
    <x v="2"/>
    <x v="253"/>
    <x v="7"/>
    <x v="6"/>
    <s v="-31,3909520937826, -64,1836424491715"/>
    <d v="1988-04-22T00:00:00"/>
    <n v="29"/>
    <x v="3"/>
    <x v="1"/>
    <s v="🚹"/>
    <x v="3"/>
    <d v="1944-02-07T00:00:00"/>
    <n v="74"/>
    <x v="0"/>
    <x v="0"/>
    <s v="🚹"/>
    <n v="2"/>
    <x v="1"/>
    <x v="0"/>
    <s v="Con ensañamiento"/>
    <s v="No aplica"/>
    <x v="1"/>
    <x v="1"/>
    <s v="Cerrado"/>
    <s v="No aplica"/>
  </r>
  <r>
    <n v="268"/>
    <x v="264"/>
    <x v="264"/>
    <x v="264"/>
    <x v="6"/>
    <x v="254"/>
    <x v="11"/>
    <x v="7"/>
    <s v="-31,4015892433235, -64,160442876477"/>
    <d v="1982-10-16T00:00:00"/>
    <n v="39"/>
    <x v="6"/>
    <x v="0"/>
    <s v="🚺"/>
    <x v="0"/>
    <d v="1959-09-05T00:00:00"/>
    <n v="62"/>
    <x v="2"/>
    <x v="0"/>
    <s v="🚹"/>
    <n v="3"/>
    <x v="0"/>
    <x v="0"/>
    <s v="No aplica"/>
    <s v="5kg de cocaína"/>
    <x v="1"/>
    <x v="0"/>
    <s v="En investigación"/>
    <s v="26"/>
  </r>
  <r>
    <n v="205"/>
    <x v="265"/>
    <x v="265"/>
    <x v="265"/>
    <x v="4"/>
    <x v="121"/>
    <x v="8"/>
    <x v="1"/>
    <s v="-31,4129883640337, -64,1681120522587"/>
    <d v="1966-02-25T00:00:00"/>
    <n v="51"/>
    <x v="0"/>
    <x v="0"/>
    <s v="🚺"/>
    <x v="1"/>
    <d v="1998-01-19T00:00:00"/>
    <n v="20"/>
    <x v="3"/>
    <x v="1"/>
    <s v="🚺"/>
    <n v="3"/>
    <x v="1"/>
    <x v="0"/>
    <s v="No aplica"/>
    <s v="Vidrios de comercio rotos"/>
    <x v="0"/>
    <x v="0"/>
    <s v="En investigación"/>
    <s v="No aplica"/>
  </r>
  <r>
    <n v="34"/>
    <x v="266"/>
    <x v="266"/>
    <x v="266"/>
    <x v="1"/>
    <x v="255"/>
    <x v="8"/>
    <x v="5"/>
    <s v="-31,3477902896523, -64,2644406169297"/>
    <d v="1971-06-28T00:00:00"/>
    <n v="46"/>
    <x v="0"/>
    <x v="0"/>
    <s v="🚺"/>
    <x v="1"/>
    <d v="1948-07-04T00:00:00"/>
    <n v="69"/>
    <x v="0"/>
    <x v="0"/>
    <s v="🚹"/>
    <n v="2"/>
    <x v="1"/>
    <x v="4"/>
    <s v="Sin agravantes"/>
    <s v="No aplica"/>
    <x v="1"/>
    <x v="0"/>
    <s v="Abierto"/>
    <s v="No aplica"/>
  </r>
  <r>
    <n v="271"/>
    <x v="267"/>
    <x v="267"/>
    <x v="267"/>
    <x v="0"/>
    <x v="219"/>
    <x v="4"/>
    <x v="2"/>
    <s v="-31,334500143441, -64,2460773260564"/>
    <d v="1972-07-25T00:00:00"/>
    <n v="46"/>
    <x v="0"/>
    <x v="1"/>
    <s v="🚹"/>
    <x v="1"/>
    <d v="2012-03-28T00:00:00"/>
    <n v="6"/>
    <x v="5"/>
    <x v="0"/>
    <s v="🚹"/>
    <n v="3"/>
    <x v="0"/>
    <x v="0"/>
    <s v="No aplica"/>
    <s v="5kg de cocaína"/>
    <x v="1"/>
    <x v="0"/>
    <s v="Cerrado"/>
    <s v="285"/>
  </r>
  <r>
    <n v="797"/>
    <x v="268"/>
    <x v="268"/>
    <x v="268"/>
    <x v="6"/>
    <x v="256"/>
    <x v="10"/>
    <x v="2"/>
    <s v="-31,334500143441, -64,2460773260564"/>
    <d v="1967-03-15T00:00:00"/>
    <n v="50"/>
    <x v="0"/>
    <x v="1"/>
    <s v="🚹"/>
    <x v="0"/>
    <d v="1952-03-26T00:00:00"/>
    <n v="65"/>
    <x v="0"/>
    <x v="1"/>
    <s v="🚺"/>
    <n v="2"/>
    <x v="1"/>
    <x v="0"/>
    <s v="No aplica"/>
    <s v="Cartera con documentación"/>
    <x v="0"/>
    <x v="0"/>
    <s v="Cerrado"/>
    <s v="No aplica"/>
  </r>
  <r>
    <n v="850"/>
    <x v="268"/>
    <x v="268"/>
    <x v="268"/>
    <x v="6"/>
    <x v="257"/>
    <x v="11"/>
    <x v="1"/>
    <s v="-31,4129883640337, -64,1681120522587"/>
    <d v="1986-05-17T00:00:00"/>
    <n v="31"/>
    <x v="3"/>
    <x v="1"/>
    <s v="🚹"/>
    <x v="0"/>
    <d v="1954-10-21T00:00:00"/>
    <n v="63"/>
    <x v="2"/>
    <x v="1"/>
    <s v="🚺"/>
    <n v="1"/>
    <x v="1"/>
    <x v="0"/>
    <s v="No aplica"/>
    <s v="Cartera con documentación"/>
    <x v="1"/>
    <x v="0"/>
    <s v="Cerrado"/>
    <s v="No aplica"/>
  </r>
  <r>
    <n v="273"/>
    <x v="269"/>
    <x v="269"/>
    <x v="269"/>
    <x v="6"/>
    <x v="258"/>
    <x v="11"/>
    <x v="7"/>
    <s v="-31,4015892433235, -64,160442876477"/>
    <d v="1984-12-10T00:00:00"/>
    <n v="36"/>
    <x v="6"/>
    <x v="0"/>
    <s v="🚺"/>
    <x v="2"/>
    <d v="2008-04-28T00:00:00"/>
    <n v="12"/>
    <x v="5"/>
    <x v="0"/>
    <s v="🚹"/>
    <n v="1"/>
    <x v="0"/>
    <x v="2"/>
    <s v="Por vínculo"/>
    <s v="No aplica"/>
    <x v="0"/>
    <x v="0"/>
    <s v="Cerrado"/>
    <s v="153"/>
  </r>
  <r>
    <n v="274"/>
    <x v="270"/>
    <x v="270"/>
    <x v="270"/>
    <x v="4"/>
    <x v="259"/>
    <x v="7"/>
    <x v="0"/>
    <s v="-31,4800162965848, -64,2094200976892"/>
    <d v="1966-07-27T00:00:00"/>
    <n v="52"/>
    <x v="0"/>
    <x v="0"/>
    <s v="🚺"/>
    <x v="1"/>
    <d v="1968-04-13T00:00:00"/>
    <n v="51"/>
    <x v="4"/>
    <x v="0"/>
    <s v="🚹"/>
    <n v="3"/>
    <x v="0"/>
    <x v="0"/>
    <s v="No aplica"/>
    <s v="No aplica"/>
    <x v="1"/>
    <x v="0"/>
    <s v="Cerrado"/>
    <s v="9"/>
  </r>
  <r>
    <n v="275"/>
    <x v="271"/>
    <x v="271"/>
    <x v="271"/>
    <x v="0"/>
    <x v="260"/>
    <x v="5"/>
    <x v="11"/>
    <s v="-31,4506257494184, -64,1733054344705"/>
    <d v="1979-07-17T00:00:00"/>
    <n v="44"/>
    <x v="6"/>
    <x v="1"/>
    <s v="🚹"/>
    <x v="3"/>
    <d v="1975-01-11T00:00:00"/>
    <n v="49"/>
    <x v="4"/>
    <x v="1"/>
    <s v="🚺"/>
    <n v="1"/>
    <x v="0"/>
    <x v="0"/>
    <s v="No aplica"/>
    <s v="Dinero público desviado"/>
    <x v="1"/>
    <x v="1"/>
    <s v="Abierto"/>
    <s v="45"/>
  </r>
  <r>
    <n v="496"/>
    <x v="189"/>
    <x v="189"/>
    <x v="189"/>
    <x v="4"/>
    <x v="261"/>
    <x v="3"/>
    <x v="10"/>
    <s v="-31,4285567311661, -64,1853198281007"/>
    <d v="1972-02-13T00:00:00"/>
    <n v="46"/>
    <x v="0"/>
    <x v="1"/>
    <s v="🚹"/>
    <x v="2"/>
    <d v="2012-08-17T00:00:00"/>
    <n v="5"/>
    <x v="5"/>
    <x v="1"/>
    <s v="🚺"/>
    <n v="3"/>
    <x v="1"/>
    <x v="0"/>
    <s v="Alevosía"/>
    <s v="No aplica"/>
    <x v="1"/>
    <x v="0"/>
    <s v="Abierto"/>
    <s v="No aplica"/>
  </r>
  <r>
    <n v="278"/>
    <x v="272"/>
    <x v="272"/>
    <x v="272"/>
    <x v="3"/>
    <x v="262"/>
    <x v="5"/>
    <x v="4"/>
    <s v="-31,3759272890294, -64,2284587792478"/>
    <d v="1957-06-06T00:00:00"/>
    <n v="66"/>
    <x v="4"/>
    <x v="1"/>
    <s v="🚹"/>
    <x v="3"/>
    <d v="1947-09-26T00:00:00"/>
    <n v="76"/>
    <x v="0"/>
    <x v="1"/>
    <s v="🚺"/>
    <n v="1"/>
    <x v="0"/>
    <x v="0"/>
    <s v="No aplica"/>
    <s v="Dinero público desviado"/>
    <x v="1"/>
    <x v="1"/>
    <s v="Cerrado"/>
    <s v="281"/>
  </r>
  <r>
    <n v="706"/>
    <x v="273"/>
    <x v="273"/>
    <x v="273"/>
    <x v="3"/>
    <x v="263"/>
    <x v="6"/>
    <x v="9"/>
    <s v="-31,4076397196409, -64,2020170430678"/>
    <d v="1970-02-03T00:00:00"/>
    <n v="48"/>
    <x v="0"/>
    <x v="0"/>
    <s v="🚺"/>
    <x v="2"/>
    <d v="1965-10-10T00:00:00"/>
    <n v="52"/>
    <x v="4"/>
    <x v="0"/>
    <s v="🚹"/>
    <n v="3"/>
    <x v="1"/>
    <x v="0"/>
    <s v="No aplica"/>
    <s v="No aplica"/>
    <x v="1"/>
    <x v="1"/>
    <s v="Cerrado"/>
    <s v="No aplica"/>
  </r>
  <r>
    <n v="185"/>
    <x v="274"/>
    <x v="274"/>
    <x v="274"/>
    <x v="5"/>
    <x v="264"/>
    <x v="0"/>
    <x v="1"/>
    <s v="-31,4129883640337, -64,1681120522587"/>
    <d v="1990-08-04T00:00:00"/>
    <n v="27"/>
    <x v="3"/>
    <x v="0"/>
    <s v="🚺"/>
    <x v="2"/>
    <d v="1977-09-18T00:00:00"/>
    <n v="40"/>
    <x v="1"/>
    <x v="0"/>
    <s v="🚹"/>
    <n v="1"/>
    <x v="1"/>
    <x v="0"/>
    <s v="No aplica"/>
    <s v="Pasta base"/>
    <x v="1"/>
    <x v="1"/>
    <s v="Abierto"/>
    <s v="No aplica"/>
  </r>
  <r>
    <n v="451"/>
    <x v="275"/>
    <x v="275"/>
    <x v="275"/>
    <x v="6"/>
    <x v="265"/>
    <x v="5"/>
    <x v="2"/>
    <s v="-31,334500143441, -64,2460773260564"/>
    <d v="2003-09-23T00:00:00"/>
    <n v="14"/>
    <x v="2"/>
    <x v="1"/>
    <s v="🚹"/>
    <x v="2"/>
    <d v="1978-02-10T00:00:00"/>
    <n v="40"/>
    <x v="1"/>
    <x v="0"/>
    <s v="🚹"/>
    <n v="2"/>
    <x v="1"/>
    <x v="0"/>
    <s v="No aplica"/>
    <s v="Ropa de marca"/>
    <x v="0"/>
    <x v="0"/>
    <s v="Abierto"/>
    <s v="No aplica"/>
  </r>
  <r>
    <n v="125"/>
    <x v="276"/>
    <x v="276"/>
    <x v="276"/>
    <x v="1"/>
    <x v="266"/>
    <x v="9"/>
    <x v="0"/>
    <s v="-31,4800162965848, -64,2094200976892"/>
    <d v="1979-02-23T00:00:00"/>
    <n v="39"/>
    <x v="6"/>
    <x v="1"/>
    <s v="🚹"/>
    <x v="4"/>
    <d v="2005-12-13T00:00:00"/>
    <n v="12"/>
    <x v="5"/>
    <x v="1"/>
    <s v="🚺"/>
    <n v="1"/>
    <x v="1"/>
    <x v="4"/>
    <s v="Sin agravantes"/>
    <s v="No aplica"/>
    <x v="0"/>
    <x v="0"/>
    <s v="Abierto"/>
    <s v="No aplica"/>
  </r>
  <r>
    <n v="279"/>
    <x v="277"/>
    <x v="277"/>
    <x v="277"/>
    <x v="1"/>
    <x v="267"/>
    <x v="11"/>
    <x v="8"/>
    <s v="-31,423018915313, -64,1493562190664"/>
    <d v="1995-06-20T00:00:00"/>
    <n v="20"/>
    <x v="1"/>
    <x v="0"/>
    <s v="🚺"/>
    <x v="4"/>
    <d v="1952-12-28T00:00:00"/>
    <n v="63"/>
    <x v="2"/>
    <x v="1"/>
    <s v="🚺"/>
    <n v="2"/>
    <x v="0"/>
    <x v="0"/>
    <s v="No aplica"/>
    <s v="5kg de cocaína"/>
    <x v="0"/>
    <x v="1"/>
    <s v="Cerrado"/>
    <s v="172"/>
  </r>
  <r>
    <n v="845"/>
    <x v="278"/>
    <x v="278"/>
    <x v="278"/>
    <x v="3"/>
    <x v="160"/>
    <x v="3"/>
    <x v="10"/>
    <s v="-31,4285567311661, -64,1853198281007"/>
    <d v="1980-02-17T00:00:00"/>
    <n v="38"/>
    <x v="6"/>
    <x v="1"/>
    <s v="🚹"/>
    <x v="2"/>
    <d v="1976-07-25T00:00:00"/>
    <n v="41"/>
    <x v="1"/>
    <x v="0"/>
    <s v="🚹"/>
    <n v="1"/>
    <x v="1"/>
    <x v="0"/>
    <s v="No aplica"/>
    <s v="Lavado de dinero"/>
    <x v="1"/>
    <x v="0"/>
    <s v="Abierto"/>
    <s v="No aplica"/>
  </r>
  <r>
    <n v="795"/>
    <x v="279"/>
    <x v="279"/>
    <x v="279"/>
    <x v="0"/>
    <x v="268"/>
    <x v="10"/>
    <x v="10"/>
    <s v="-31,4285567311661, -64,1853198281007"/>
    <d v="1999-07-21T00:00:00"/>
    <n v="18"/>
    <x v="1"/>
    <x v="0"/>
    <s v="🚺"/>
    <x v="3"/>
    <d v="1973-01-07T00:00:00"/>
    <n v="45"/>
    <x v="1"/>
    <x v="1"/>
    <s v="🚺"/>
    <n v="3"/>
    <x v="1"/>
    <x v="0"/>
    <s v="No aplica"/>
    <s v="Evasión fiscal"/>
    <x v="1"/>
    <x v="1"/>
    <s v="En investigación"/>
    <s v="No aplica"/>
  </r>
  <r>
    <n v="280"/>
    <x v="156"/>
    <x v="156"/>
    <x v="156"/>
    <x v="4"/>
    <x v="269"/>
    <x v="7"/>
    <x v="5"/>
    <s v="-31,3477902896523, -64,2644406169297"/>
    <d v="1994-05-25T00:00:00"/>
    <n v="28"/>
    <x v="3"/>
    <x v="0"/>
    <s v="🚺"/>
    <x v="0"/>
    <d v="1985-11-17T00:00:00"/>
    <n v="37"/>
    <x v="1"/>
    <x v="0"/>
    <s v="🚹"/>
    <n v="3"/>
    <x v="0"/>
    <x v="0"/>
    <s v="Alevosía"/>
    <s v="No aplica"/>
    <x v="1"/>
    <x v="0"/>
    <s v="En investigación"/>
    <s v="231"/>
  </r>
  <r>
    <n v="256"/>
    <x v="280"/>
    <x v="280"/>
    <x v="280"/>
    <x v="2"/>
    <x v="270"/>
    <x v="11"/>
    <x v="11"/>
    <s v="-31,4506257494184, -64,1733054344705"/>
    <d v="1956-01-21T00:00:00"/>
    <n v="62"/>
    <x v="5"/>
    <x v="1"/>
    <s v="🚹"/>
    <x v="0"/>
    <d v="1984-08-26T00:00:00"/>
    <n v="33"/>
    <x v="6"/>
    <x v="1"/>
    <s v="🚺"/>
    <n v="1"/>
    <x v="1"/>
    <x v="0"/>
    <s v="No aplica"/>
    <s v="Estafa bancaria"/>
    <x v="1"/>
    <x v="1"/>
    <s v="En investigación"/>
    <s v="No aplica"/>
  </r>
  <r>
    <n v="439"/>
    <x v="281"/>
    <x v="281"/>
    <x v="281"/>
    <x v="0"/>
    <x v="271"/>
    <x v="11"/>
    <x v="2"/>
    <s v="-31,334500143441, -64,2460773260564"/>
    <d v="1980-11-06T00:00:00"/>
    <n v="37"/>
    <x v="6"/>
    <x v="0"/>
    <s v="🚺"/>
    <x v="4"/>
    <d v="1946-07-09T00:00:00"/>
    <n v="71"/>
    <x v="0"/>
    <x v="1"/>
    <s v="🚺"/>
    <n v="1"/>
    <x v="1"/>
    <x v="2"/>
    <s v="No aplica"/>
    <s v="Billetera con $15,000 ARG"/>
    <x v="0"/>
    <x v="0"/>
    <s v="Abierto"/>
    <s v="No aplica"/>
  </r>
  <r>
    <n v="281"/>
    <x v="282"/>
    <x v="282"/>
    <x v="282"/>
    <x v="5"/>
    <x v="272"/>
    <x v="0"/>
    <x v="5"/>
    <s v="-31,3477902896523, -64,2644406169297"/>
    <d v="1989-12-19T00:00:00"/>
    <n v="30"/>
    <x v="3"/>
    <x v="1"/>
    <s v="🚹"/>
    <x v="0"/>
    <d v="2013-11-21T00:00:00"/>
    <n v="6"/>
    <x v="5"/>
    <x v="1"/>
    <s v="🚺"/>
    <n v="2"/>
    <x v="0"/>
    <x v="0"/>
    <s v="No aplica"/>
    <s v="Plantas de marihuana"/>
    <x v="1"/>
    <x v="1"/>
    <s v="Cerrado"/>
    <s v="243"/>
  </r>
  <r>
    <n v="369"/>
    <x v="283"/>
    <x v="283"/>
    <x v="283"/>
    <x v="3"/>
    <x v="273"/>
    <x v="2"/>
    <x v="3"/>
    <s v="-31,4148488101991, -64,1793406489438"/>
    <d v="1964-08-18T00:00:00"/>
    <n v="53"/>
    <x v="0"/>
    <x v="1"/>
    <s v="🚹"/>
    <x v="2"/>
    <d v="1958-07-14T00:00:00"/>
    <n v="59"/>
    <x v="2"/>
    <x v="1"/>
    <s v="🚺"/>
    <n v="2"/>
    <x v="1"/>
    <x v="0"/>
    <s v="No aplica"/>
    <s v="No aplica"/>
    <x v="1"/>
    <x v="0"/>
    <s v="Cerrado"/>
    <s v="No aplica"/>
  </r>
  <r>
    <n v="282"/>
    <x v="284"/>
    <x v="284"/>
    <x v="284"/>
    <x v="1"/>
    <x v="274"/>
    <x v="11"/>
    <x v="4"/>
    <s v="-31,3759272890294, -64,2284587792478"/>
    <d v="1975-05-27T00:00:00"/>
    <n v="42"/>
    <x v="6"/>
    <x v="1"/>
    <s v="🚹"/>
    <x v="2"/>
    <d v="1972-05-18T00:00:00"/>
    <n v="45"/>
    <x v="1"/>
    <x v="0"/>
    <s v="🚹"/>
    <n v="2"/>
    <x v="0"/>
    <x v="0"/>
    <s v="No aplica"/>
    <s v="No aplica"/>
    <x v="1"/>
    <x v="1"/>
    <s v="Cerrado"/>
    <s v="224"/>
  </r>
  <r>
    <n v="284"/>
    <x v="285"/>
    <x v="285"/>
    <x v="285"/>
    <x v="3"/>
    <x v="275"/>
    <x v="9"/>
    <x v="2"/>
    <s v="-31,334500143441, -64,2460773260564"/>
    <d v="1954-07-24T00:00:00"/>
    <n v="65"/>
    <x v="4"/>
    <x v="0"/>
    <s v="🚺"/>
    <x v="3"/>
    <d v="1982-01-07T00:00:00"/>
    <n v="37"/>
    <x v="1"/>
    <x v="1"/>
    <s v="🚺"/>
    <n v="3"/>
    <x v="0"/>
    <x v="0"/>
    <s v="Sin agravantes"/>
    <s v="No aplica"/>
    <x v="0"/>
    <x v="1"/>
    <s v="Abierto"/>
    <s v="130"/>
  </r>
  <r>
    <n v="285"/>
    <x v="286"/>
    <x v="286"/>
    <x v="286"/>
    <x v="6"/>
    <x v="276"/>
    <x v="7"/>
    <x v="7"/>
    <s v="-31,4015892433235, -64,160442876477"/>
    <d v="1993-06-07T00:00:00"/>
    <n v="25"/>
    <x v="1"/>
    <x v="1"/>
    <s v="🚹"/>
    <x v="4"/>
    <d v="1996-09-02T00:00:00"/>
    <n v="22"/>
    <x v="3"/>
    <x v="1"/>
    <s v="🚺"/>
    <n v="1"/>
    <x v="0"/>
    <x v="0"/>
    <s v="No aplica"/>
    <s v="Vidrios de comercio rotos"/>
    <x v="1"/>
    <x v="1"/>
    <s v="En investigación"/>
    <s v="67"/>
  </r>
  <r>
    <n v="622"/>
    <x v="134"/>
    <x v="134"/>
    <x v="134"/>
    <x v="1"/>
    <x v="277"/>
    <x v="1"/>
    <x v="7"/>
    <s v="-31,4015892433235, -64,160442876477"/>
    <d v="1989-03-04T00:00:00"/>
    <n v="29"/>
    <x v="3"/>
    <x v="1"/>
    <s v="🚹"/>
    <x v="2"/>
    <d v="2001-02-05T00:00:00"/>
    <n v="17"/>
    <x v="5"/>
    <x v="1"/>
    <s v="🚺"/>
    <n v="3"/>
    <x v="1"/>
    <x v="0"/>
    <s v="No aplica"/>
    <s v="Lavado de dinero"/>
    <x v="1"/>
    <x v="0"/>
    <s v="Abierto"/>
    <s v="No aplica"/>
  </r>
  <r>
    <n v="286"/>
    <x v="287"/>
    <x v="287"/>
    <x v="287"/>
    <x v="4"/>
    <x v="191"/>
    <x v="10"/>
    <x v="6"/>
    <s v="-31,3909520937826, -64,1836424491715"/>
    <d v="1981-04-20T00:00:00"/>
    <n v="34"/>
    <x v="3"/>
    <x v="0"/>
    <s v="🚺"/>
    <x v="0"/>
    <d v="1957-05-07T00:00:00"/>
    <n v="58"/>
    <x v="2"/>
    <x v="1"/>
    <s v="🚺"/>
    <n v="1"/>
    <x v="0"/>
    <x v="0"/>
    <s v="No aplica"/>
    <s v="Plantas de marihuana"/>
    <x v="1"/>
    <x v="1"/>
    <s v="Cerrado"/>
    <s v="161"/>
  </r>
  <r>
    <n v="287"/>
    <x v="288"/>
    <x v="288"/>
    <x v="288"/>
    <x v="2"/>
    <x v="278"/>
    <x v="5"/>
    <x v="6"/>
    <s v="-31,3909520937826, -64,1836424491715"/>
    <d v="1967-12-15T00:00:00"/>
    <n v="51"/>
    <x v="0"/>
    <x v="1"/>
    <s v="🚹"/>
    <x v="1"/>
    <d v="1999-07-11T00:00:00"/>
    <n v="19"/>
    <x v="3"/>
    <x v="0"/>
    <s v="🚹"/>
    <n v="3"/>
    <x v="0"/>
    <x v="0"/>
    <s v="No aplica"/>
    <s v="Estafa bancaria"/>
    <x v="1"/>
    <x v="0"/>
    <s v="Cerrado"/>
    <s v="81"/>
  </r>
  <r>
    <n v="891"/>
    <x v="289"/>
    <x v="289"/>
    <x v="289"/>
    <x v="3"/>
    <x v="279"/>
    <x v="11"/>
    <x v="10"/>
    <s v="-31,4285567311661, -64,1853198281007"/>
    <d v="1956-05-08T00:00:00"/>
    <n v="62"/>
    <x v="5"/>
    <x v="0"/>
    <s v="🚺"/>
    <x v="4"/>
    <d v="1990-06-13T00:00:00"/>
    <n v="28"/>
    <x v="6"/>
    <x v="1"/>
    <s v="🚺"/>
    <n v="1"/>
    <x v="1"/>
    <x v="0"/>
    <s v="No aplica"/>
    <s v="No aplica"/>
    <x v="1"/>
    <x v="0"/>
    <s v="Cerrado"/>
    <s v="No aplica"/>
  </r>
  <r>
    <n v="290"/>
    <x v="290"/>
    <x v="290"/>
    <x v="290"/>
    <x v="6"/>
    <x v="280"/>
    <x v="11"/>
    <x v="10"/>
    <s v="-31,4285567311661, -64,1853198281007"/>
    <d v="1989-12-13T00:00:00"/>
    <n v="34"/>
    <x v="3"/>
    <x v="1"/>
    <s v="🚹"/>
    <x v="1"/>
    <d v="1950-05-05T00:00:00"/>
    <n v="73"/>
    <x v="0"/>
    <x v="1"/>
    <s v="🚺"/>
    <n v="3"/>
    <x v="0"/>
    <x v="0"/>
    <s v="No aplica"/>
    <s v="5kg de cocaína"/>
    <x v="1"/>
    <x v="1"/>
    <s v="En investigación"/>
    <s v="247"/>
  </r>
  <r>
    <n v="575"/>
    <x v="291"/>
    <x v="291"/>
    <x v="291"/>
    <x v="1"/>
    <x v="150"/>
    <x v="0"/>
    <x v="2"/>
    <s v="-31,334500143441, -64,2460773260564"/>
    <d v="1991-04-03T00:00:00"/>
    <n v="27"/>
    <x v="3"/>
    <x v="0"/>
    <s v="🚺"/>
    <x v="1"/>
    <d v="2008-12-19T00:00:00"/>
    <n v="9"/>
    <x v="5"/>
    <x v="0"/>
    <s v="🚹"/>
    <n v="3"/>
    <x v="1"/>
    <x v="0"/>
    <s v="No aplica"/>
    <s v="No aplica"/>
    <x v="0"/>
    <x v="0"/>
    <s v="Abierto"/>
    <s v="No aplica"/>
  </r>
  <r>
    <n v="291"/>
    <x v="292"/>
    <x v="292"/>
    <x v="292"/>
    <x v="5"/>
    <x v="281"/>
    <x v="11"/>
    <x v="11"/>
    <s v="-31,4506257494184, -64,1733054344705"/>
    <d v="2004-03-08T00:00:00"/>
    <n v="19"/>
    <x v="1"/>
    <x v="1"/>
    <s v="🚹"/>
    <x v="2"/>
    <d v="1980-07-26T00:00:00"/>
    <n v="43"/>
    <x v="1"/>
    <x v="1"/>
    <s v="🚺"/>
    <n v="3"/>
    <x v="0"/>
    <x v="0"/>
    <s v="Por vínculo"/>
    <s v="No aplica"/>
    <x v="1"/>
    <x v="0"/>
    <s v="Abierto"/>
    <s v="13"/>
  </r>
  <r>
    <n v="446"/>
    <x v="293"/>
    <x v="293"/>
    <x v="293"/>
    <x v="3"/>
    <x v="39"/>
    <x v="7"/>
    <x v="4"/>
    <s v="-31,3759272890294, -64,2284587792478"/>
    <d v="1957-06-10T00:00:00"/>
    <n v="61"/>
    <x v="5"/>
    <x v="1"/>
    <s v="🚹"/>
    <x v="2"/>
    <d v="1946-08-09T00:00:00"/>
    <n v="71"/>
    <x v="0"/>
    <x v="1"/>
    <s v="🚺"/>
    <n v="2"/>
    <x v="1"/>
    <x v="0"/>
    <s v="No aplica"/>
    <s v="No aplica"/>
    <x v="0"/>
    <x v="1"/>
    <s v="En investigación"/>
    <s v="No aplica"/>
  </r>
  <r>
    <n v="293"/>
    <x v="294"/>
    <x v="294"/>
    <x v="294"/>
    <x v="2"/>
    <x v="40"/>
    <x v="2"/>
    <x v="6"/>
    <s v="-31,3909520937826, -64,1836424491715"/>
    <d v="1953-10-03T00:00:00"/>
    <n v="67"/>
    <x v="4"/>
    <x v="1"/>
    <s v="🚹"/>
    <x v="1"/>
    <d v="1984-11-01T00:00:00"/>
    <n v="36"/>
    <x v="1"/>
    <x v="0"/>
    <s v="🚹"/>
    <n v="1"/>
    <x v="0"/>
    <x v="0"/>
    <s v="No aplica"/>
    <s v="Grafitis en edificios públicos"/>
    <x v="0"/>
    <x v="0"/>
    <s v="Abierto"/>
    <s v="130"/>
  </r>
  <r>
    <n v="294"/>
    <x v="295"/>
    <x v="295"/>
    <x v="295"/>
    <x v="4"/>
    <x v="282"/>
    <x v="0"/>
    <x v="0"/>
    <s v="-31,4800162965848, -64,2094200976892"/>
    <d v="1957-03-10T00:00:00"/>
    <n v="64"/>
    <x v="5"/>
    <x v="1"/>
    <s v="🚹"/>
    <x v="2"/>
    <d v="1963-07-19T00:00:00"/>
    <n v="58"/>
    <x v="2"/>
    <x v="0"/>
    <s v="🚹"/>
    <n v="1"/>
    <x v="0"/>
    <x v="4"/>
    <s v="No aplica"/>
    <s v="Laptop marca HP"/>
    <x v="1"/>
    <x v="0"/>
    <s v="Abierto"/>
    <s v="273"/>
  </r>
  <r>
    <n v="297"/>
    <x v="296"/>
    <x v="296"/>
    <x v="296"/>
    <x v="3"/>
    <x v="283"/>
    <x v="10"/>
    <x v="7"/>
    <s v="-31,4015892433235, -64,160442876477"/>
    <d v="1950-01-09T00:00:00"/>
    <n v="70"/>
    <x v="4"/>
    <x v="0"/>
    <s v="🚺"/>
    <x v="3"/>
    <d v="1971-05-19T00:00:00"/>
    <n v="48"/>
    <x v="4"/>
    <x v="0"/>
    <s v="🚹"/>
    <n v="2"/>
    <x v="0"/>
    <x v="0"/>
    <s v="No aplica"/>
    <s v="Lavado de dinero"/>
    <x v="0"/>
    <x v="1"/>
    <s v="Cerrado"/>
    <s v="106"/>
  </r>
  <r>
    <n v="298"/>
    <x v="297"/>
    <x v="297"/>
    <x v="297"/>
    <x v="4"/>
    <x v="284"/>
    <x v="10"/>
    <x v="5"/>
    <s v="-31,3477902896523, -64,2644406169297"/>
    <d v="1981-02-03T00:00:00"/>
    <n v="39"/>
    <x v="6"/>
    <x v="1"/>
    <s v="🚹"/>
    <x v="0"/>
    <d v="1948-03-26T00:00:00"/>
    <n v="72"/>
    <x v="0"/>
    <x v="1"/>
    <s v="🚺"/>
    <n v="3"/>
    <x v="0"/>
    <x v="0"/>
    <s v="No aplica"/>
    <s v="Dinero público desviado"/>
    <x v="1"/>
    <x v="0"/>
    <s v="Abierto"/>
    <s v="125"/>
  </r>
  <r>
    <n v="121"/>
    <x v="298"/>
    <x v="298"/>
    <x v="298"/>
    <x v="3"/>
    <x v="285"/>
    <x v="1"/>
    <x v="4"/>
    <s v="-31,3759272890294, -64,2284587792478"/>
    <d v="1961-02-04T00:00:00"/>
    <n v="57"/>
    <x v="5"/>
    <x v="0"/>
    <s v="🚺"/>
    <x v="1"/>
    <d v="2011-11-03T00:00:00"/>
    <n v="6"/>
    <x v="5"/>
    <x v="0"/>
    <s v="🚹"/>
    <n v="3"/>
    <x v="1"/>
    <x v="0"/>
    <s v="No aplica"/>
    <s v="Dinero público desviado"/>
    <x v="1"/>
    <x v="1"/>
    <s v="Abierto"/>
    <s v="No aplica"/>
  </r>
  <r>
    <n v="299"/>
    <x v="299"/>
    <x v="299"/>
    <x v="299"/>
    <x v="0"/>
    <x v="286"/>
    <x v="11"/>
    <x v="1"/>
    <s v="-31,4129883640337, -64,1681120522587"/>
    <d v="1983-12-06T00:00:00"/>
    <n v="35"/>
    <x v="3"/>
    <x v="0"/>
    <s v="🚺"/>
    <x v="1"/>
    <d v="1988-08-07T00:00:00"/>
    <n v="31"/>
    <x v="6"/>
    <x v="1"/>
    <s v="🚺"/>
    <n v="1"/>
    <x v="0"/>
    <x v="0"/>
    <s v="Sin agravantes"/>
    <s v="No aplica"/>
    <x v="0"/>
    <x v="1"/>
    <s v="Cerrado"/>
    <s v="69"/>
  </r>
  <r>
    <n v="300"/>
    <x v="300"/>
    <x v="300"/>
    <x v="300"/>
    <x v="4"/>
    <x v="287"/>
    <x v="0"/>
    <x v="9"/>
    <s v="-31,4076397196409, -64,2020170430678"/>
    <d v="1972-02-24T00:00:00"/>
    <n v="52"/>
    <x v="0"/>
    <x v="0"/>
    <s v="🚺"/>
    <x v="0"/>
    <d v="1946-03-23T00:00:00"/>
    <n v="78"/>
    <x v="0"/>
    <x v="1"/>
    <s v="🚺"/>
    <n v="2"/>
    <x v="0"/>
    <x v="4"/>
    <s v="Sin agravantes"/>
    <s v="No aplica"/>
    <x v="1"/>
    <x v="1"/>
    <s v="Cerrado"/>
    <s v="276"/>
  </r>
  <r>
    <n v="996"/>
    <x v="301"/>
    <x v="301"/>
    <x v="301"/>
    <x v="0"/>
    <x v="288"/>
    <x v="1"/>
    <x v="6"/>
    <s v="-31,3909520937826, -64,1836424491715"/>
    <d v="1964-03-10T00:00:00"/>
    <n v="54"/>
    <x v="0"/>
    <x v="1"/>
    <s v="🚹"/>
    <x v="3"/>
    <d v="1956-08-06T00:00:00"/>
    <n v="62"/>
    <x v="2"/>
    <x v="0"/>
    <s v="🚹"/>
    <n v="1"/>
    <x v="1"/>
    <x v="0"/>
    <s v="No aplica"/>
    <s v="Lavado de dinero"/>
    <x v="1"/>
    <x v="0"/>
    <s v="En investigación"/>
    <s v="No aplica"/>
  </r>
  <r>
    <n v="301"/>
    <x v="302"/>
    <x v="302"/>
    <x v="302"/>
    <x v="1"/>
    <x v="289"/>
    <x v="3"/>
    <x v="5"/>
    <s v="-31,3477902896523, -64,2644406169297"/>
    <d v="2005-11-26T00:00:00"/>
    <n v="15"/>
    <x v="2"/>
    <x v="1"/>
    <s v="🚹"/>
    <x v="0"/>
    <d v="1955-01-28T00:00:00"/>
    <n v="66"/>
    <x v="0"/>
    <x v="0"/>
    <s v="🚹"/>
    <n v="3"/>
    <x v="0"/>
    <x v="0"/>
    <s v="No aplica"/>
    <s v="Vidrios de comercio rotos"/>
    <x v="1"/>
    <x v="0"/>
    <s v="En investigación"/>
    <s v="251"/>
  </r>
  <r>
    <n v="288"/>
    <x v="303"/>
    <x v="303"/>
    <x v="303"/>
    <x v="6"/>
    <x v="43"/>
    <x v="9"/>
    <x v="11"/>
    <s v="-31,4506257494184, -64,1733054344705"/>
    <d v="1981-11-19T00:00:00"/>
    <n v="36"/>
    <x v="6"/>
    <x v="1"/>
    <s v="🚹"/>
    <x v="3"/>
    <d v="1968-12-19T00:00:00"/>
    <n v="49"/>
    <x v="4"/>
    <x v="1"/>
    <s v="🚺"/>
    <n v="1"/>
    <x v="1"/>
    <x v="0"/>
    <s v="No aplica"/>
    <s v="Contrato fraudulento"/>
    <x v="1"/>
    <x v="0"/>
    <s v="Cerrado"/>
    <s v="No aplica"/>
  </r>
  <r>
    <n v="302"/>
    <x v="304"/>
    <x v="304"/>
    <x v="304"/>
    <x v="6"/>
    <x v="290"/>
    <x v="9"/>
    <x v="7"/>
    <s v="-31,4015892433235, -64,160442876477"/>
    <d v="1983-05-19T00:00:00"/>
    <n v="37"/>
    <x v="6"/>
    <x v="0"/>
    <s v="🚺"/>
    <x v="2"/>
    <d v="1985-03-26T00:00:00"/>
    <n v="35"/>
    <x v="6"/>
    <x v="1"/>
    <s v="🚺"/>
    <n v="3"/>
    <x v="0"/>
    <x v="0"/>
    <s v="No aplica"/>
    <s v="Evasión fiscal"/>
    <x v="0"/>
    <x v="0"/>
    <s v="Abierto"/>
    <s v="169"/>
  </r>
  <r>
    <n v="606"/>
    <x v="305"/>
    <x v="305"/>
    <x v="305"/>
    <x v="3"/>
    <x v="121"/>
    <x v="7"/>
    <x v="10"/>
    <s v="-31,4285567311661, -64,1853198281007"/>
    <d v="1975-10-02T00:00:00"/>
    <n v="42"/>
    <x v="6"/>
    <x v="1"/>
    <s v="🚹"/>
    <x v="2"/>
    <d v="1943-09-08T00:00:00"/>
    <n v="74"/>
    <x v="0"/>
    <x v="0"/>
    <s v="🚹"/>
    <n v="2"/>
    <x v="1"/>
    <x v="0"/>
    <s v="No aplica"/>
    <s v="No aplica"/>
    <x v="1"/>
    <x v="1"/>
    <s v="En investigación"/>
    <s v="No aplica"/>
  </r>
  <r>
    <n v="303"/>
    <x v="306"/>
    <x v="306"/>
    <x v="306"/>
    <x v="5"/>
    <x v="291"/>
    <x v="3"/>
    <x v="7"/>
    <s v="-31,4015892433235, -64,160442876477"/>
    <d v="1959-11-27T00:00:00"/>
    <n v="59"/>
    <x v="5"/>
    <x v="1"/>
    <s v="🚹"/>
    <x v="0"/>
    <d v="2007-04-22T00:00:00"/>
    <n v="12"/>
    <x v="5"/>
    <x v="0"/>
    <s v="🚹"/>
    <n v="3"/>
    <x v="0"/>
    <x v="0"/>
    <s v="No aplica"/>
    <s v="Vidrios de comercio rotos"/>
    <x v="1"/>
    <x v="0"/>
    <s v="Abierto"/>
    <s v="7"/>
  </r>
  <r>
    <n v="304"/>
    <x v="307"/>
    <x v="307"/>
    <x v="307"/>
    <x v="5"/>
    <x v="292"/>
    <x v="2"/>
    <x v="3"/>
    <s v="-31,4148488101991, -64,1793406489438"/>
    <d v="1991-01-07T00:00:00"/>
    <n v="24"/>
    <x v="1"/>
    <x v="1"/>
    <s v="🚹"/>
    <x v="1"/>
    <d v="1942-02-09T00:00:00"/>
    <n v="73"/>
    <x v="0"/>
    <x v="0"/>
    <s v="🚹"/>
    <n v="2"/>
    <x v="0"/>
    <x v="0"/>
    <s v="Sin agravantes"/>
    <s v="No aplica"/>
    <x v="1"/>
    <x v="0"/>
    <s v="Cerrado"/>
    <s v="87"/>
  </r>
  <r>
    <n v="619"/>
    <x v="308"/>
    <x v="308"/>
    <x v="308"/>
    <x v="0"/>
    <x v="293"/>
    <x v="9"/>
    <x v="10"/>
    <s v="-31,4285567311661, -64,1853198281007"/>
    <d v="1956-02-06T00:00:00"/>
    <n v="62"/>
    <x v="5"/>
    <x v="0"/>
    <s v="🚺"/>
    <x v="3"/>
    <d v="1983-06-23T00:00:00"/>
    <n v="35"/>
    <x v="6"/>
    <x v="1"/>
    <s v="🚺"/>
    <n v="2"/>
    <x v="1"/>
    <x v="0"/>
    <s v="No aplica"/>
    <s v="Contrato fraudulento"/>
    <x v="0"/>
    <x v="0"/>
    <s v="En investigación"/>
    <s v="No aplica"/>
  </r>
  <r>
    <n v="992"/>
    <x v="309"/>
    <x v="309"/>
    <x v="309"/>
    <x v="1"/>
    <x v="294"/>
    <x v="10"/>
    <x v="4"/>
    <s v="-31,3759272890294, -64,2284587792478"/>
    <d v="1997-06-05T00:00:00"/>
    <n v="21"/>
    <x v="1"/>
    <x v="0"/>
    <s v="🚺"/>
    <x v="0"/>
    <d v="1980-10-04T00:00:00"/>
    <n v="37"/>
    <x v="1"/>
    <x v="0"/>
    <s v="🚹"/>
    <n v="1"/>
    <x v="1"/>
    <x v="0"/>
    <s v="No aplica"/>
    <s v="Lavado de dinero"/>
    <x v="1"/>
    <x v="0"/>
    <s v="Abierto"/>
    <s v="No aplica"/>
  </r>
  <r>
    <n v="306"/>
    <x v="310"/>
    <x v="310"/>
    <x v="310"/>
    <x v="2"/>
    <x v="295"/>
    <x v="6"/>
    <x v="11"/>
    <s v="-31,4506257494184, -64,1733054344705"/>
    <d v="2003-05-09T00:00:00"/>
    <n v="15"/>
    <x v="2"/>
    <x v="1"/>
    <s v="🚹"/>
    <x v="4"/>
    <d v="1981-08-16T00:00:00"/>
    <n v="37"/>
    <x v="1"/>
    <x v="1"/>
    <s v="🚺"/>
    <n v="1"/>
    <x v="0"/>
    <x v="4"/>
    <s v="Con ensañamiento"/>
    <s v="No aplica"/>
    <x v="1"/>
    <x v="1"/>
    <s v="En investigación"/>
    <s v="30"/>
  </r>
  <r>
    <n v="381"/>
    <x v="311"/>
    <x v="311"/>
    <x v="311"/>
    <x v="0"/>
    <x v="296"/>
    <x v="8"/>
    <x v="3"/>
    <s v="-31,4148488101991, -64,1793406489438"/>
    <d v="1961-10-11T00:00:00"/>
    <n v="56"/>
    <x v="5"/>
    <x v="0"/>
    <s v="🚺"/>
    <x v="0"/>
    <d v="1944-06-19T00:00:00"/>
    <n v="74"/>
    <x v="0"/>
    <x v="0"/>
    <s v="🚹"/>
    <n v="3"/>
    <x v="1"/>
    <x v="3"/>
    <s v="No aplica"/>
    <s v="Billetera con $15,000 ARG"/>
    <x v="1"/>
    <x v="0"/>
    <s v="Cerrado"/>
    <s v="No aplica"/>
  </r>
  <r>
    <n v="308"/>
    <x v="312"/>
    <x v="312"/>
    <x v="312"/>
    <x v="4"/>
    <x v="297"/>
    <x v="5"/>
    <x v="1"/>
    <s v="-31,4129883640337, -64,1681120522587"/>
    <d v="1984-11-05T00:00:00"/>
    <n v="38"/>
    <x v="6"/>
    <x v="1"/>
    <s v="🚹"/>
    <x v="4"/>
    <d v="1964-06-14T00:00:00"/>
    <n v="58"/>
    <x v="2"/>
    <x v="1"/>
    <s v="🚺"/>
    <n v="3"/>
    <x v="0"/>
    <x v="0"/>
    <s v="Sin agravantes"/>
    <s v="No aplica"/>
    <x v="1"/>
    <x v="1"/>
    <s v="Cerrado"/>
    <s v="241"/>
  </r>
  <r>
    <n v="588"/>
    <x v="313"/>
    <x v="313"/>
    <x v="313"/>
    <x v="2"/>
    <x v="298"/>
    <x v="1"/>
    <x v="8"/>
    <s v="-31,423018915313, -64,1493562190664"/>
    <d v="1981-01-02T00:00:00"/>
    <n v="37"/>
    <x v="6"/>
    <x v="1"/>
    <s v="🚹"/>
    <x v="3"/>
    <d v="1961-09-12T00:00:00"/>
    <n v="57"/>
    <x v="2"/>
    <x v="0"/>
    <s v="🚹"/>
    <n v="2"/>
    <x v="1"/>
    <x v="0"/>
    <s v="No aplica"/>
    <s v="5kg de cocaína"/>
    <x v="1"/>
    <x v="1"/>
    <s v="Cerrado"/>
    <s v="No aplica"/>
  </r>
  <r>
    <n v="100"/>
    <x v="314"/>
    <x v="314"/>
    <x v="314"/>
    <x v="4"/>
    <x v="4"/>
    <x v="9"/>
    <x v="0"/>
    <s v="-31,4800162965848, -64,2094200976892"/>
    <d v="1954-03-13T00:00:00"/>
    <n v="64"/>
    <x v="5"/>
    <x v="0"/>
    <s v="🚺"/>
    <x v="2"/>
    <d v="1997-05-20T00:00:00"/>
    <n v="21"/>
    <x v="3"/>
    <x v="1"/>
    <s v="🚺"/>
    <n v="3"/>
    <x v="1"/>
    <x v="4"/>
    <s v="No aplica"/>
    <s v="Auto modelo XXX, patente XXX XXX"/>
    <x v="1"/>
    <x v="0"/>
    <s v="Cerrado"/>
    <s v="No aplica"/>
  </r>
  <r>
    <n v="263"/>
    <x v="314"/>
    <x v="314"/>
    <x v="314"/>
    <x v="4"/>
    <x v="299"/>
    <x v="11"/>
    <x v="1"/>
    <s v="-31,4129883640337, -64,1681120522587"/>
    <d v="1954-08-18T00:00:00"/>
    <n v="64"/>
    <x v="5"/>
    <x v="0"/>
    <s v="🚺"/>
    <x v="0"/>
    <d v="1950-08-22T00:00:00"/>
    <n v="68"/>
    <x v="0"/>
    <x v="0"/>
    <s v="🚹"/>
    <n v="3"/>
    <x v="1"/>
    <x v="0"/>
    <s v="No aplica"/>
    <s v="Grafitis en edificios públicos"/>
    <x v="1"/>
    <x v="0"/>
    <s v="Cerrado"/>
    <s v="No aplica"/>
  </r>
  <r>
    <n v="309"/>
    <x v="315"/>
    <x v="315"/>
    <x v="315"/>
    <x v="2"/>
    <x v="275"/>
    <x v="10"/>
    <x v="5"/>
    <s v="-31,3477902896523, -64,2644406169297"/>
    <d v="2002-05-09T00:00:00"/>
    <n v="19"/>
    <x v="1"/>
    <x v="0"/>
    <s v="🚺"/>
    <x v="1"/>
    <d v="2004-11-18T00:00:00"/>
    <n v="17"/>
    <x v="5"/>
    <x v="1"/>
    <s v="🚺"/>
    <n v="3"/>
    <x v="0"/>
    <x v="0"/>
    <s v="No aplica"/>
    <s v="Contrato fraudulento"/>
    <x v="1"/>
    <x v="0"/>
    <s v="Cerrado"/>
    <s v="109"/>
  </r>
  <r>
    <n v="311"/>
    <x v="316"/>
    <x v="316"/>
    <x v="316"/>
    <x v="5"/>
    <x v="300"/>
    <x v="6"/>
    <x v="6"/>
    <s v="-31,3909520937826, -64,1836424491715"/>
    <d v="2004-06-01T00:00:00"/>
    <n v="13"/>
    <x v="2"/>
    <x v="0"/>
    <s v="🚺"/>
    <x v="3"/>
    <d v="1996-07-24T00:00:00"/>
    <n v="21"/>
    <x v="3"/>
    <x v="0"/>
    <s v="🚹"/>
    <n v="2"/>
    <x v="0"/>
    <x v="0"/>
    <s v="No aplica"/>
    <s v="Estafa bancaria"/>
    <x v="0"/>
    <x v="1"/>
    <s v="Cerrado"/>
    <s v="54"/>
  </r>
  <r>
    <n v="313"/>
    <x v="317"/>
    <x v="317"/>
    <x v="317"/>
    <x v="4"/>
    <x v="301"/>
    <x v="2"/>
    <x v="4"/>
    <s v="-31,3759272890294, -64,2284587792478"/>
    <d v="1959-04-10T00:00:00"/>
    <n v="56"/>
    <x v="5"/>
    <x v="1"/>
    <s v="🚹"/>
    <x v="4"/>
    <d v="1946-07-16T00:00:00"/>
    <n v="69"/>
    <x v="0"/>
    <x v="1"/>
    <s v="🚺"/>
    <n v="2"/>
    <x v="0"/>
    <x v="0"/>
    <s v="No aplica"/>
    <s v="Grafitis en edificios públicos"/>
    <x v="1"/>
    <x v="0"/>
    <s v="Abierto"/>
    <s v="279"/>
  </r>
  <r>
    <n v="652"/>
    <x v="318"/>
    <x v="318"/>
    <x v="318"/>
    <x v="6"/>
    <x v="172"/>
    <x v="11"/>
    <x v="3"/>
    <s v="-31,4148488101991, -64,1793406489438"/>
    <d v="1998-06-20T00:00:00"/>
    <n v="20"/>
    <x v="1"/>
    <x v="1"/>
    <s v="🚹"/>
    <x v="1"/>
    <d v="1987-03-15T00:00:00"/>
    <n v="31"/>
    <x v="6"/>
    <x v="0"/>
    <s v="🚹"/>
    <n v="1"/>
    <x v="1"/>
    <x v="0"/>
    <s v="No aplica"/>
    <s v="Bicicleta"/>
    <x v="1"/>
    <x v="1"/>
    <s v="Cerrado"/>
    <s v="No aplica"/>
  </r>
  <r>
    <n v="338"/>
    <x v="319"/>
    <x v="319"/>
    <x v="319"/>
    <x v="4"/>
    <x v="302"/>
    <x v="10"/>
    <x v="3"/>
    <s v="-31,4148488101991, -64,1793406489438"/>
    <d v="2004-02-04T00:00:00"/>
    <n v="14"/>
    <x v="2"/>
    <x v="1"/>
    <s v="🚹"/>
    <x v="3"/>
    <d v="2013-03-14T00:00:00"/>
    <n v="5"/>
    <x v="5"/>
    <x v="0"/>
    <s v="🚹"/>
    <n v="1"/>
    <x v="1"/>
    <x v="0"/>
    <s v="No aplica"/>
    <s v="Dinero público desviado"/>
    <x v="0"/>
    <x v="1"/>
    <s v="En investigación"/>
    <s v="No aplica"/>
  </r>
  <r>
    <n v="895"/>
    <x v="320"/>
    <x v="320"/>
    <x v="320"/>
    <x v="6"/>
    <x v="132"/>
    <x v="10"/>
    <x v="4"/>
    <s v="-31,3759272890294, -64,2284587792478"/>
    <d v="1975-10-20T00:00:00"/>
    <n v="43"/>
    <x v="6"/>
    <x v="1"/>
    <s v="🚹"/>
    <x v="0"/>
    <d v="1945-07-16T00:00:00"/>
    <n v="73"/>
    <x v="0"/>
    <x v="1"/>
    <s v="🚺"/>
    <n v="1"/>
    <x v="1"/>
    <x v="0"/>
    <s v="No aplica"/>
    <s v="5kg de cocaína"/>
    <x v="1"/>
    <x v="1"/>
    <s v="En investigación"/>
    <s v="No aplica"/>
  </r>
  <r>
    <n v="314"/>
    <x v="321"/>
    <x v="321"/>
    <x v="321"/>
    <x v="2"/>
    <x v="303"/>
    <x v="7"/>
    <x v="11"/>
    <s v="-31,4506257494184, -64,1733054344705"/>
    <d v="1970-09-02T00:00:00"/>
    <n v="49"/>
    <x v="0"/>
    <x v="1"/>
    <s v="🚹"/>
    <x v="1"/>
    <d v="1961-05-22T00:00:00"/>
    <n v="58"/>
    <x v="2"/>
    <x v="1"/>
    <s v="🚺"/>
    <n v="3"/>
    <x v="0"/>
    <x v="0"/>
    <s v="No aplica"/>
    <s v="Contrato fraudulento"/>
    <x v="1"/>
    <x v="0"/>
    <s v="Cerrado"/>
    <s v="50"/>
  </r>
  <r>
    <n v="315"/>
    <x v="322"/>
    <x v="322"/>
    <x v="322"/>
    <x v="2"/>
    <x v="304"/>
    <x v="10"/>
    <x v="4"/>
    <s v="-31,3759272890294, -64,2284587792478"/>
    <d v="1987-09-04T00:00:00"/>
    <n v="27"/>
    <x v="3"/>
    <x v="1"/>
    <s v="🚹"/>
    <x v="0"/>
    <d v="1985-07-14T00:00:00"/>
    <n v="29"/>
    <x v="6"/>
    <x v="0"/>
    <s v="🚹"/>
    <n v="2"/>
    <x v="0"/>
    <x v="0"/>
    <s v="No aplica"/>
    <s v="No aplica"/>
    <x v="1"/>
    <x v="0"/>
    <s v="Cerrado"/>
    <s v="59"/>
  </r>
  <r>
    <n v="169"/>
    <x v="323"/>
    <x v="323"/>
    <x v="323"/>
    <x v="0"/>
    <x v="40"/>
    <x v="10"/>
    <x v="4"/>
    <s v="-31,3759272890294, -64,2284587792478"/>
    <d v="1960-05-26T00:00:00"/>
    <n v="58"/>
    <x v="5"/>
    <x v="0"/>
    <s v="🚺"/>
    <x v="1"/>
    <d v="1958-10-09T00:00:00"/>
    <n v="60"/>
    <x v="2"/>
    <x v="0"/>
    <s v="🚹"/>
    <n v="2"/>
    <x v="1"/>
    <x v="0"/>
    <s v="No aplica"/>
    <s v="Cuentas falsas"/>
    <x v="0"/>
    <x v="1"/>
    <s v="Abierto"/>
    <s v="No aplica"/>
  </r>
  <r>
    <n v="317"/>
    <x v="324"/>
    <x v="324"/>
    <x v="324"/>
    <x v="6"/>
    <x v="305"/>
    <x v="0"/>
    <x v="8"/>
    <s v="-31,423018915313, -64,1493562190664"/>
    <d v="1969-11-03T00:00:00"/>
    <n v="50"/>
    <x v="0"/>
    <x v="0"/>
    <s v="🚺"/>
    <x v="1"/>
    <d v="1995-07-20T00:00:00"/>
    <n v="24"/>
    <x v="3"/>
    <x v="1"/>
    <s v="🚺"/>
    <n v="1"/>
    <x v="0"/>
    <x v="0"/>
    <s v="No aplica"/>
    <s v="No aplica"/>
    <x v="1"/>
    <x v="1"/>
    <s v="Cerrado"/>
    <s v="284"/>
  </r>
  <r>
    <n v="117"/>
    <x v="325"/>
    <x v="325"/>
    <x v="325"/>
    <x v="5"/>
    <x v="206"/>
    <x v="11"/>
    <x v="9"/>
    <s v="-31,4076397196409, -64,2020170430678"/>
    <d v="2004-11-24T00:00:00"/>
    <n v="13"/>
    <x v="2"/>
    <x v="1"/>
    <s v="🚹"/>
    <x v="0"/>
    <d v="1946-03-24T00:00:00"/>
    <n v="72"/>
    <x v="0"/>
    <x v="0"/>
    <s v="🚹"/>
    <n v="2"/>
    <x v="1"/>
    <x v="1"/>
    <s v="Por vínculo"/>
    <s v="No aplica"/>
    <x v="0"/>
    <x v="0"/>
    <s v="Abierto"/>
    <s v="No aplica"/>
  </r>
  <r>
    <n v="322"/>
    <x v="325"/>
    <x v="325"/>
    <x v="325"/>
    <x v="5"/>
    <x v="306"/>
    <x v="4"/>
    <x v="6"/>
    <s v="-31,3909520937826, -64,1836424491715"/>
    <d v="1962-04-05T00:00:00"/>
    <n v="56"/>
    <x v="5"/>
    <x v="1"/>
    <s v="🚹"/>
    <x v="0"/>
    <d v="2010-03-01T00:00:00"/>
    <n v="8"/>
    <x v="5"/>
    <x v="0"/>
    <s v="🚹"/>
    <n v="3"/>
    <x v="1"/>
    <x v="0"/>
    <s v="No aplica"/>
    <s v="Estafa bancaria"/>
    <x v="1"/>
    <x v="0"/>
    <s v="Cerrado"/>
    <s v="No aplica"/>
  </r>
  <r>
    <n v="323"/>
    <x v="326"/>
    <x v="326"/>
    <x v="326"/>
    <x v="6"/>
    <x v="307"/>
    <x v="5"/>
    <x v="9"/>
    <s v="-31,4076397196409, -64,2020170430678"/>
    <d v="1978-04-10T00:00:00"/>
    <n v="44"/>
    <x v="6"/>
    <x v="0"/>
    <s v="🚺"/>
    <x v="0"/>
    <d v="2008-08-01T00:00:00"/>
    <n v="14"/>
    <x v="5"/>
    <x v="1"/>
    <s v="🚺"/>
    <n v="1"/>
    <x v="0"/>
    <x v="2"/>
    <s v="Sin agravantes"/>
    <s v="No aplica"/>
    <x v="1"/>
    <x v="0"/>
    <s v="En investigación"/>
    <s v="10"/>
  </r>
  <r>
    <n v="325"/>
    <x v="327"/>
    <x v="327"/>
    <x v="327"/>
    <x v="6"/>
    <x v="308"/>
    <x v="8"/>
    <x v="9"/>
    <s v="-31,4076397196409, -64,2020170430678"/>
    <d v="1977-02-14T00:00:00"/>
    <n v="46"/>
    <x v="0"/>
    <x v="0"/>
    <s v="🚺"/>
    <x v="2"/>
    <d v="2014-08-20T00:00:00"/>
    <n v="9"/>
    <x v="5"/>
    <x v="0"/>
    <s v="🚹"/>
    <n v="3"/>
    <x v="0"/>
    <x v="0"/>
    <s v="No aplica"/>
    <s v="5kg de cocaína"/>
    <x v="0"/>
    <x v="1"/>
    <s v="Cerrado"/>
    <s v="137"/>
  </r>
  <r>
    <n v="81"/>
    <x v="328"/>
    <x v="328"/>
    <x v="328"/>
    <x v="4"/>
    <x v="309"/>
    <x v="8"/>
    <x v="8"/>
    <s v="-31,423018915313, -64,1493562190664"/>
    <d v="1996-06-03T00:00:00"/>
    <n v="22"/>
    <x v="1"/>
    <x v="0"/>
    <s v="🚺"/>
    <x v="4"/>
    <d v="1947-11-23T00:00:00"/>
    <n v="71"/>
    <x v="0"/>
    <x v="0"/>
    <s v="🚹"/>
    <n v="3"/>
    <x v="1"/>
    <x v="0"/>
    <s v="No aplica"/>
    <s v="No aplica"/>
    <x v="0"/>
    <x v="1"/>
    <s v="En investigación"/>
    <s v="No aplica"/>
  </r>
  <r>
    <n v="352"/>
    <x v="329"/>
    <x v="329"/>
    <x v="329"/>
    <x v="6"/>
    <x v="310"/>
    <x v="9"/>
    <x v="9"/>
    <s v="-31,4076397196409, -64,2020170430678"/>
    <d v="1992-10-15T00:00:00"/>
    <n v="26"/>
    <x v="3"/>
    <x v="0"/>
    <s v="🚺"/>
    <x v="1"/>
    <d v="1953-01-03T00:00:00"/>
    <n v="65"/>
    <x v="0"/>
    <x v="0"/>
    <s v="🚹"/>
    <n v="2"/>
    <x v="1"/>
    <x v="0"/>
    <s v="No aplica"/>
    <s v="5kg de cocaína"/>
    <x v="0"/>
    <x v="0"/>
    <s v="Cerrado"/>
    <s v="No aplica"/>
  </r>
  <r>
    <n v="328"/>
    <x v="330"/>
    <x v="330"/>
    <x v="330"/>
    <x v="5"/>
    <x v="311"/>
    <x v="0"/>
    <x v="2"/>
    <s v="-31,334500143441, -64,2460773260564"/>
    <d v="1972-08-13T00:00:00"/>
    <n v="52"/>
    <x v="0"/>
    <x v="0"/>
    <s v="🚺"/>
    <x v="0"/>
    <d v="1982-09-15T00:00:00"/>
    <n v="42"/>
    <x v="1"/>
    <x v="1"/>
    <s v="🚺"/>
    <n v="3"/>
    <x v="0"/>
    <x v="0"/>
    <s v="No aplica"/>
    <s v="Plantas de marihuana"/>
    <x v="0"/>
    <x v="1"/>
    <s v="Abierto"/>
    <s v="131"/>
  </r>
  <r>
    <n v="587"/>
    <x v="331"/>
    <x v="331"/>
    <x v="331"/>
    <x v="2"/>
    <x v="151"/>
    <x v="2"/>
    <x v="7"/>
    <s v="-31,4015892433235, -64,160442876477"/>
    <d v="1983-11-15T00:00:00"/>
    <n v="35"/>
    <x v="3"/>
    <x v="0"/>
    <s v="🚺"/>
    <x v="3"/>
    <d v="1995-11-06T00:00:00"/>
    <n v="23"/>
    <x v="3"/>
    <x v="1"/>
    <s v="🚺"/>
    <n v="2"/>
    <x v="1"/>
    <x v="3"/>
    <s v="Con ensañamiento"/>
    <s v="No aplica"/>
    <x v="1"/>
    <x v="0"/>
    <s v="Cerrado"/>
    <s v="No aplica"/>
  </r>
  <r>
    <n v="330"/>
    <x v="332"/>
    <x v="332"/>
    <x v="332"/>
    <x v="6"/>
    <x v="312"/>
    <x v="8"/>
    <x v="1"/>
    <s v="-31,4129883640337, -64,1681120522587"/>
    <d v="1969-10-17T00:00:00"/>
    <n v="50"/>
    <x v="0"/>
    <x v="0"/>
    <s v="🚺"/>
    <x v="4"/>
    <d v="1973-04-27T00:00:00"/>
    <n v="46"/>
    <x v="4"/>
    <x v="0"/>
    <s v="🚹"/>
    <n v="2"/>
    <x v="0"/>
    <x v="0"/>
    <s v="No aplica"/>
    <s v="Grafitis en edificios públicos"/>
    <x v="0"/>
    <x v="0"/>
    <s v="Cerrado"/>
    <s v="129"/>
  </r>
  <r>
    <n v="332"/>
    <x v="333"/>
    <x v="333"/>
    <x v="333"/>
    <x v="0"/>
    <x v="313"/>
    <x v="9"/>
    <x v="8"/>
    <s v="-31,423018915313, -64,1493562190664"/>
    <d v="1959-09-28T00:00:00"/>
    <n v="55"/>
    <x v="0"/>
    <x v="0"/>
    <s v="🚺"/>
    <x v="0"/>
    <d v="1948-12-27T00:00:00"/>
    <n v="66"/>
    <x v="0"/>
    <x v="0"/>
    <s v="🚹"/>
    <n v="3"/>
    <x v="0"/>
    <x v="0"/>
    <s v="No aplica"/>
    <s v="Grafitis en edificios públicos"/>
    <x v="1"/>
    <x v="1"/>
    <s v="Abierto"/>
    <s v="160"/>
  </r>
  <r>
    <n v="334"/>
    <x v="334"/>
    <x v="334"/>
    <x v="334"/>
    <x v="2"/>
    <x v="41"/>
    <x v="1"/>
    <x v="5"/>
    <s v="-31,3477902896523, -64,2644406169297"/>
    <d v="1986-03-02T00:00:00"/>
    <n v="33"/>
    <x v="3"/>
    <x v="0"/>
    <s v="🚺"/>
    <x v="4"/>
    <d v="1958-06-27T00:00:00"/>
    <n v="61"/>
    <x v="2"/>
    <x v="1"/>
    <s v="🚺"/>
    <n v="2"/>
    <x v="0"/>
    <x v="0"/>
    <s v="No aplica"/>
    <s v="Grafitis en edificios públicos"/>
    <x v="1"/>
    <x v="1"/>
    <s v="Abierto"/>
    <s v="207"/>
  </r>
  <r>
    <n v="605"/>
    <x v="335"/>
    <x v="335"/>
    <x v="335"/>
    <x v="1"/>
    <x v="314"/>
    <x v="9"/>
    <x v="4"/>
    <s v="-31,3759272890294, -64,2284587792478"/>
    <d v="1959-04-25T00:00:00"/>
    <n v="59"/>
    <x v="5"/>
    <x v="0"/>
    <s v="🚺"/>
    <x v="4"/>
    <d v="1987-12-20T00:00:00"/>
    <n v="31"/>
    <x v="6"/>
    <x v="0"/>
    <s v="🚹"/>
    <n v="2"/>
    <x v="1"/>
    <x v="0"/>
    <s v="No aplica"/>
    <s v="Plantas de marihuana"/>
    <x v="1"/>
    <x v="1"/>
    <s v="Cerrado"/>
    <s v="No aplica"/>
  </r>
  <r>
    <n v="549"/>
    <x v="336"/>
    <x v="336"/>
    <x v="336"/>
    <x v="2"/>
    <x v="315"/>
    <x v="7"/>
    <x v="4"/>
    <s v="-31,3759272890294, -64,2284587792478"/>
    <d v="1955-11-28T00:00:00"/>
    <n v="63"/>
    <x v="5"/>
    <x v="1"/>
    <s v="🚹"/>
    <x v="4"/>
    <d v="2013-06-10T00:00:00"/>
    <n v="5"/>
    <x v="5"/>
    <x v="1"/>
    <s v="🚺"/>
    <n v="2"/>
    <x v="1"/>
    <x v="0"/>
    <s v="No aplica"/>
    <s v="Celular"/>
    <x v="0"/>
    <x v="1"/>
    <s v="Cerrado"/>
    <s v="No aplica"/>
  </r>
  <r>
    <n v="336"/>
    <x v="337"/>
    <x v="337"/>
    <x v="337"/>
    <x v="2"/>
    <x v="316"/>
    <x v="9"/>
    <x v="3"/>
    <s v="-31,4148488101991, -64,1793406489438"/>
    <d v="1998-05-14T00:00:00"/>
    <n v="24"/>
    <x v="1"/>
    <x v="1"/>
    <s v="🚹"/>
    <x v="2"/>
    <d v="2002-12-27T00:00:00"/>
    <n v="20"/>
    <x v="3"/>
    <x v="1"/>
    <s v="🚺"/>
    <n v="1"/>
    <x v="0"/>
    <x v="0"/>
    <s v="No aplica"/>
    <s v="Contrato fraudulento"/>
    <x v="1"/>
    <x v="1"/>
    <s v="Cerrado"/>
    <s v="61"/>
  </r>
  <r>
    <n v="337"/>
    <x v="338"/>
    <x v="338"/>
    <x v="338"/>
    <x v="0"/>
    <x v="317"/>
    <x v="0"/>
    <x v="2"/>
    <s v="-31,334500143441, -64,2460773260564"/>
    <d v="1967-04-01T00:00:00"/>
    <n v="56"/>
    <x v="5"/>
    <x v="0"/>
    <s v="🚺"/>
    <x v="1"/>
    <d v="2013-09-03T00:00:00"/>
    <n v="10"/>
    <x v="5"/>
    <x v="1"/>
    <s v="🚺"/>
    <n v="3"/>
    <x v="0"/>
    <x v="0"/>
    <s v="No aplica"/>
    <s v="Evasión fiscal"/>
    <x v="1"/>
    <x v="0"/>
    <s v="En investigación"/>
    <s v="203"/>
  </r>
  <r>
    <n v="340"/>
    <x v="339"/>
    <x v="339"/>
    <x v="339"/>
    <x v="5"/>
    <x v="318"/>
    <x v="5"/>
    <x v="10"/>
    <s v="-31,4285567311661, -64,1853198281007"/>
    <d v="1959-04-21T00:00:00"/>
    <n v="65"/>
    <x v="4"/>
    <x v="0"/>
    <s v="🚺"/>
    <x v="2"/>
    <d v="1982-12-19T00:00:00"/>
    <n v="41"/>
    <x v="1"/>
    <x v="1"/>
    <s v="🚺"/>
    <n v="1"/>
    <x v="0"/>
    <x v="0"/>
    <s v="Por vínculo"/>
    <s v="No aplica"/>
    <x v="1"/>
    <x v="0"/>
    <s v="En investigación"/>
    <s v="225"/>
  </r>
  <r>
    <n v="341"/>
    <x v="340"/>
    <x v="340"/>
    <x v="340"/>
    <x v="6"/>
    <x v="319"/>
    <x v="4"/>
    <x v="6"/>
    <s v="-31,3909520937826, -64,1836424491715"/>
    <d v="1970-01-11T00:00:00"/>
    <n v="46"/>
    <x v="0"/>
    <x v="0"/>
    <s v="🚺"/>
    <x v="3"/>
    <d v="1983-04-19T00:00:00"/>
    <n v="33"/>
    <x v="6"/>
    <x v="1"/>
    <s v="🚺"/>
    <n v="1"/>
    <x v="0"/>
    <x v="0"/>
    <s v="No aplica"/>
    <s v="Grafitis en edificios públicos"/>
    <x v="1"/>
    <x v="1"/>
    <s v="Cerrado"/>
    <s v="132"/>
  </r>
  <r>
    <n v="342"/>
    <x v="61"/>
    <x v="61"/>
    <x v="61"/>
    <x v="6"/>
    <x v="320"/>
    <x v="8"/>
    <x v="2"/>
    <s v="-31,334500143441, -64,2460773260564"/>
    <d v="1978-03-05T00:00:00"/>
    <n v="39"/>
    <x v="6"/>
    <x v="1"/>
    <s v="🚹"/>
    <x v="0"/>
    <d v="1998-08-04T00:00:00"/>
    <n v="19"/>
    <x v="3"/>
    <x v="0"/>
    <s v="🚹"/>
    <n v="2"/>
    <x v="0"/>
    <x v="0"/>
    <s v="No aplica"/>
    <s v="Grafitis en edificios públicos"/>
    <x v="1"/>
    <x v="0"/>
    <s v="Abierto"/>
    <s v="248"/>
  </r>
  <r>
    <n v="344"/>
    <x v="341"/>
    <x v="341"/>
    <x v="341"/>
    <x v="5"/>
    <x v="321"/>
    <x v="9"/>
    <x v="7"/>
    <s v="-31,4015892433235, -64,160442876477"/>
    <d v="1980-07-27T00:00:00"/>
    <n v="42"/>
    <x v="6"/>
    <x v="0"/>
    <s v="🚺"/>
    <x v="1"/>
    <d v="2000-07-24T00:00:00"/>
    <n v="22"/>
    <x v="3"/>
    <x v="1"/>
    <s v="🚺"/>
    <n v="2"/>
    <x v="0"/>
    <x v="0"/>
    <s v="No aplica"/>
    <s v="Dinero público desviado"/>
    <x v="1"/>
    <x v="1"/>
    <s v="Cerrado"/>
    <s v="288"/>
  </r>
  <r>
    <n v="198"/>
    <x v="342"/>
    <x v="342"/>
    <x v="342"/>
    <x v="5"/>
    <x v="322"/>
    <x v="11"/>
    <x v="5"/>
    <s v="-31,3477902896523, -64,2644406169297"/>
    <d v="1951-09-15T00:00:00"/>
    <n v="67"/>
    <x v="4"/>
    <x v="0"/>
    <s v="🚺"/>
    <x v="4"/>
    <d v="1982-05-07T00:00:00"/>
    <n v="36"/>
    <x v="1"/>
    <x v="0"/>
    <s v="🚹"/>
    <n v="2"/>
    <x v="1"/>
    <x v="0"/>
    <s v="No aplica"/>
    <s v="Estafa bancaria"/>
    <x v="0"/>
    <x v="0"/>
    <s v="Abierto"/>
    <s v="No aplica"/>
  </r>
  <r>
    <n v="443"/>
    <x v="342"/>
    <x v="342"/>
    <x v="342"/>
    <x v="5"/>
    <x v="323"/>
    <x v="1"/>
    <x v="11"/>
    <s v="-31,4506257494184, -64,1733054344705"/>
    <d v="1994-09-06T00:00:00"/>
    <n v="24"/>
    <x v="1"/>
    <x v="1"/>
    <s v="🚹"/>
    <x v="1"/>
    <d v="1944-03-04T00:00:00"/>
    <n v="74"/>
    <x v="0"/>
    <x v="1"/>
    <s v="🚺"/>
    <n v="2"/>
    <x v="1"/>
    <x v="0"/>
    <s v="Con ensañamiento"/>
    <s v="No aplica"/>
    <x v="1"/>
    <x v="0"/>
    <s v="En investigación"/>
    <s v="No aplica"/>
  </r>
  <r>
    <n v="345"/>
    <x v="343"/>
    <x v="343"/>
    <x v="343"/>
    <x v="5"/>
    <x v="288"/>
    <x v="9"/>
    <x v="3"/>
    <s v="-31,4148488101991, -64,1793406489438"/>
    <d v="1953-12-05T00:00:00"/>
    <n v="65"/>
    <x v="4"/>
    <x v="0"/>
    <s v="🚺"/>
    <x v="4"/>
    <d v="1970-10-08T00:00:00"/>
    <n v="48"/>
    <x v="4"/>
    <x v="0"/>
    <s v="🚹"/>
    <n v="2"/>
    <x v="0"/>
    <x v="0"/>
    <s v="No aplica"/>
    <s v="Estafa bancaria"/>
    <x v="1"/>
    <x v="0"/>
    <s v="Abierto"/>
    <s v="258"/>
  </r>
  <r>
    <n v="737"/>
    <x v="344"/>
    <x v="344"/>
    <x v="344"/>
    <x v="3"/>
    <x v="324"/>
    <x v="9"/>
    <x v="10"/>
    <s v="-31,4285567311661, -64,1853198281007"/>
    <d v="1992-03-02T00:00:00"/>
    <n v="26"/>
    <x v="3"/>
    <x v="0"/>
    <s v="🚺"/>
    <x v="1"/>
    <d v="1962-05-27T00:00:00"/>
    <n v="56"/>
    <x v="2"/>
    <x v="0"/>
    <s v="🚹"/>
    <n v="3"/>
    <x v="1"/>
    <x v="0"/>
    <s v="No aplica"/>
    <s v="Grafitis en edificios públicos"/>
    <x v="1"/>
    <x v="0"/>
    <s v="Cerrado"/>
    <s v="No aplica"/>
  </r>
  <r>
    <n v="346"/>
    <x v="345"/>
    <x v="345"/>
    <x v="345"/>
    <x v="0"/>
    <x v="83"/>
    <x v="6"/>
    <x v="5"/>
    <s v="-31,3477902896523, -64,2644406169297"/>
    <d v="1987-03-09T00:00:00"/>
    <n v="30"/>
    <x v="3"/>
    <x v="1"/>
    <s v="🚹"/>
    <x v="2"/>
    <d v="2008-06-02T00:00:00"/>
    <n v="8"/>
    <x v="5"/>
    <x v="0"/>
    <s v="🚹"/>
    <n v="3"/>
    <x v="0"/>
    <x v="0"/>
    <s v="Por vínculo"/>
    <s v="No aplica"/>
    <x v="1"/>
    <x v="0"/>
    <s v="Cerrado"/>
    <s v="289"/>
  </r>
  <r>
    <n v="347"/>
    <x v="346"/>
    <x v="346"/>
    <x v="346"/>
    <x v="2"/>
    <x v="325"/>
    <x v="3"/>
    <x v="0"/>
    <s v="-31,4800162965848, -64,2094200976892"/>
    <d v="1961-01-03T00:00:00"/>
    <n v="59"/>
    <x v="5"/>
    <x v="1"/>
    <s v="🚹"/>
    <x v="3"/>
    <d v="1991-04-07T00:00:00"/>
    <n v="28"/>
    <x v="6"/>
    <x v="1"/>
    <s v="🚺"/>
    <n v="2"/>
    <x v="0"/>
    <x v="0"/>
    <s v="No aplica"/>
    <s v="Ropa de marca"/>
    <x v="0"/>
    <x v="0"/>
    <s v="Cerrado"/>
    <s v="294"/>
  </r>
  <r>
    <n v="732"/>
    <x v="347"/>
    <x v="347"/>
    <x v="347"/>
    <x v="2"/>
    <x v="112"/>
    <x v="7"/>
    <x v="1"/>
    <s v="-31,4129883640337, -64,1681120522587"/>
    <d v="1999-07-28T00:00:00"/>
    <n v="19"/>
    <x v="1"/>
    <x v="1"/>
    <s v="🚹"/>
    <x v="0"/>
    <d v="1986-11-13T00:00:00"/>
    <n v="32"/>
    <x v="6"/>
    <x v="0"/>
    <s v="🚹"/>
    <n v="3"/>
    <x v="1"/>
    <x v="0"/>
    <s v="No aplica"/>
    <s v="Evasión fiscal"/>
    <x v="1"/>
    <x v="0"/>
    <s v="Abierto"/>
    <s v="No aplica"/>
  </r>
  <r>
    <n v="858"/>
    <x v="348"/>
    <x v="348"/>
    <x v="348"/>
    <x v="0"/>
    <x v="326"/>
    <x v="9"/>
    <x v="10"/>
    <s v="-31,4285567311661, -64,1853198281007"/>
    <d v="1951-09-21T00:00:00"/>
    <n v="67"/>
    <x v="4"/>
    <x v="0"/>
    <s v="🚺"/>
    <x v="2"/>
    <d v="1984-10-15T00:00:00"/>
    <n v="34"/>
    <x v="6"/>
    <x v="1"/>
    <s v="🚺"/>
    <n v="1"/>
    <x v="1"/>
    <x v="0"/>
    <s v="No aplica"/>
    <s v="Celular"/>
    <x v="1"/>
    <x v="0"/>
    <s v="Abierto"/>
    <s v="No aplica"/>
  </r>
  <r>
    <n v="359"/>
    <x v="349"/>
    <x v="349"/>
    <x v="349"/>
    <x v="1"/>
    <x v="327"/>
    <x v="7"/>
    <x v="0"/>
    <s v="-31,4800162965848, -64,2094200976892"/>
    <d v="1957-04-09T00:00:00"/>
    <n v="59"/>
    <x v="5"/>
    <x v="1"/>
    <s v="🚹"/>
    <x v="2"/>
    <d v="2013-01-20T00:00:00"/>
    <n v="3"/>
    <x v="5"/>
    <x v="1"/>
    <s v="🚺"/>
    <n v="3"/>
    <x v="0"/>
    <x v="3"/>
    <s v="Sin agravantes"/>
    <s v="No aplica"/>
    <x v="1"/>
    <x v="1"/>
    <s v="Cerrado"/>
    <s v="98"/>
  </r>
  <r>
    <n v="272"/>
    <x v="350"/>
    <x v="350"/>
    <x v="350"/>
    <x v="4"/>
    <x v="170"/>
    <x v="7"/>
    <x v="0"/>
    <s v="-31,4800162965848, -64,2094200976892"/>
    <d v="1996-10-06T00:00:00"/>
    <n v="22"/>
    <x v="1"/>
    <x v="0"/>
    <s v="🚺"/>
    <x v="1"/>
    <d v="2012-08-10T00:00:00"/>
    <n v="6"/>
    <x v="5"/>
    <x v="1"/>
    <s v="🚺"/>
    <n v="3"/>
    <x v="1"/>
    <x v="0"/>
    <s v="No aplica"/>
    <s v="Grafitis en edificios públicos"/>
    <x v="1"/>
    <x v="1"/>
    <s v="Cerrado"/>
    <s v="No aplica"/>
  </r>
  <r>
    <n v="615"/>
    <x v="351"/>
    <x v="351"/>
    <x v="351"/>
    <x v="1"/>
    <x v="328"/>
    <x v="11"/>
    <x v="2"/>
    <s v="-31,334500143441, -64,2460773260564"/>
    <d v="1976-02-09T00:00:00"/>
    <n v="43"/>
    <x v="6"/>
    <x v="1"/>
    <s v="🚹"/>
    <x v="3"/>
    <d v="1978-04-20T00:00:00"/>
    <n v="40"/>
    <x v="1"/>
    <x v="0"/>
    <s v="🚹"/>
    <n v="3"/>
    <x v="1"/>
    <x v="0"/>
    <s v="No aplica"/>
    <s v="Dinero público desviado"/>
    <x v="1"/>
    <x v="1"/>
    <s v="Cerrado"/>
    <s v="No aplica"/>
  </r>
  <r>
    <n v="136"/>
    <x v="352"/>
    <x v="352"/>
    <x v="352"/>
    <x v="1"/>
    <x v="329"/>
    <x v="9"/>
    <x v="1"/>
    <s v="-31,4129883640337, -64,1681120522587"/>
    <d v="1977-05-26T00:00:00"/>
    <n v="41"/>
    <x v="6"/>
    <x v="1"/>
    <s v="🚹"/>
    <x v="1"/>
    <d v="2013-06-13T00:00:00"/>
    <n v="5"/>
    <x v="5"/>
    <x v="0"/>
    <s v="🚹"/>
    <n v="1"/>
    <x v="1"/>
    <x v="0"/>
    <s v="No aplica"/>
    <s v="Cuentas falsas"/>
    <x v="0"/>
    <x v="1"/>
    <s v="Abierto"/>
    <s v="No aplica"/>
  </r>
  <r>
    <n v="276"/>
    <x v="353"/>
    <x v="353"/>
    <x v="353"/>
    <x v="6"/>
    <x v="330"/>
    <x v="9"/>
    <x v="6"/>
    <s v="-31,3909520937826, -64,1836424491715"/>
    <d v="1976-03-23T00:00:00"/>
    <n v="42"/>
    <x v="6"/>
    <x v="0"/>
    <s v="🚺"/>
    <x v="4"/>
    <d v="1944-10-26T00:00:00"/>
    <n v="74"/>
    <x v="0"/>
    <x v="0"/>
    <s v="🚹"/>
    <n v="3"/>
    <x v="1"/>
    <x v="0"/>
    <s v="No aplica"/>
    <s v="No aplica"/>
    <x v="1"/>
    <x v="1"/>
    <s v="Cerrado"/>
    <s v="No aplica"/>
  </r>
  <r>
    <n v="87"/>
    <x v="354"/>
    <x v="354"/>
    <x v="354"/>
    <x v="2"/>
    <x v="331"/>
    <x v="7"/>
    <x v="1"/>
    <s v="-31,4129883640337, -64,1681120522587"/>
    <d v="2002-05-25T00:00:00"/>
    <n v="16"/>
    <x v="2"/>
    <x v="1"/>
    <s v="🚹"/>
    <x v="0"/>
    <d v="1946-07-14T00:00:00"/>
    <n v="72"/>
    <x v="0"/>
    <x v="0"/>
    <s v="🚹"/>
    <n v="3"/>
    <x v="1"/>
    <x v="0"/>
    <s v="No aplica"/>
    <s v="Cuentas falsas"/>
    <x v="1"/>
    <x v="1"/>
    <s v="En investigación"/>
    <s v="No aplica"/>
  </r>
  <r>
    <n v="408"/>
    <x v="355"/>
    <x v="355"/>
    <x v="355"/>
    <x v="4"/>
    <x v="332"/>
    <x v="7"/>
    <x v="2"/>
    <s v="-31,334500143441, -64,2460773260564"/>
    <d v="1978-02-08T00:00:00"/>
    <n v="41"/>
    <x v="6"/>
    <x v="0"/>
    <s v="🚺"/>
    <x v="3"/>
    <d v="1949-07-21T00:00:00"/>
    <n v="69"/>
    <x v="0"/>
    <x v="1"/>
    <s v="🚺"/>
    <n v="3"/>
    <x v="1"/>
    <x v="0"/>
    <s v="No aplica"/>
    <s v="Lavado de dinero"/>
    <x v="0"/>
    <x v="1"/>
    <s v="Cerrado"/>
    <s v="No aplica"/>
  </r>
  <r>
    <n v="760"/>
    <x v="356"/>
    <x v="356"/>
    <x v="356"/>
    <x v="6"/>
    <x v="333"/>
    <x v="2"/>
    <x v="8"/>
    <s v="-31,423018915313, -64,1493562190664"/>
    <d v="2004-01-10T00:00:00"/>
    <n v="15"/>
    <x v="2"/>
    <x v="0"/>
    <s v="🚺"/>
    <x v="3"/>
    <d v="1977-04-01T00:00:00"/>
    <n v="42"/>
    <x v="1"/>
    <x v="0"/>
    <s v="🚹"/>
    <n v="3"/>
    <x v="1"/>
    <x v="0"/>
    <s v="No aplica"/>
    <s v="Pasta base"/>
    <x v="1"/>
    <x v="1"/>
    <s v="Cerrado"/>
    <s v="No aplica"/>
  </r>
  <r>
    <n v="361"/>
    <x v="357"/>
    <x v="357"/>
    <x v="357"/>
    <x v="5"/>
    <x v="334"/>
    <x v="5"/>
    <x v="2"/>
    <s v="-31,334500143441, -64,2460773260564"/>
    <d v="1969-05-18T00:00:00"/>
    <n v="52"/>
    <x v="0"/>
    <x v="0"/>
    <s v="🚺"/>
    <x v="4"/>
    <d v="1947-06-22T00:00:00"/>
    <n v="74"/>
    <x v="0"/>
    <x v="0"/>
    <s v="🚹"/>
    <n v="2"/>
    <x v="0"/>
    <x v="0"/>
    <s v="No aplica"/>
    <s v="No aplica"/>
    <x v="0"/>
    <x v="1"/>
    <s v="Cerrado"/>
    <s v="100"/>
  </r>
  <r>
    <n v="593"/>
    <x v="358"/>
    <x v="358"/>
    <x v="358"/>
    <x v="5"/>
    <x v="335"/>
    <x v="5"/>
    <x v="5"/>
    <s v="-31,3477902896523, -64,2644406169297"/>
    <d v="1991-06-22T00:00:00"/>
    <n v="27"/>
    <x v="3"/>
    <x v="1"/>
    <s v="🚹"/>
    <x v="4"/>
    <d v="2012-07-03T00:00:00"/>
    <n v="6"/>
    <x v="5"/>
    <x v="0"/>
    <s v="🚹"/>
    <n v="1"/>
    <x v="1"/>
    <x v="0"/>
    <s v="No aplica"/>
    <s v="Evasión fiscal"/>
    <x v="0"/>
    <x v="0"/>
    <s v="Cerrado"/>
    <s v="No aplica"/>
  </r>
  <r>
    <n v="234"/>
    <x v="359"/>
    <x v="359"/>
    <x v="359"/>
    <x v="6"/>
    <x v="336"/>
    <x v="3"/>
    <x v="8"/>
    <s v="-31,423018915313, -64,1493562190664"/>
    <d v="1990-11-18T00:00:00"/>
    <n v="28"/>
    <x v="3"/>
    <x v="0"/>
    <s v="🚺"/>
    <x v="4"/>
    <d v="2000-08-14T00:00:00"/>
    <n v="18"/>
    <x v="3"/>
    <x v="1"/>
    <s v="🚺"/>
    <n v="1"/>
    <x v="1"/>
    <x v="0"/>
    <s v="No aplica"/>
    <s v="5kg de cocaína"/>
    <x v="1"/>
    <x v="0"/>
    <s v="Cerrado"/>
    <s v="No aplica"/>
  </r>
  <r>
    <n v="362"/>
    <x v="360"/>
    <x v="360"/>
    <x v="360"/>
    <x v="5"/>
    <x v="337"/>
    <x v="0"/>
    <x v="8"/>
    <s v="-31,423018915313, -64,1493562190664"/>
    <d v="1969-09-02T00:00:00"/>
    <n v="53"/>
    <x v="0"/>
    <x v="1"/>
    <s v="🚹"/>
    <x v="2"/>
    <d v="1953-02-11T00:00:00"/>
    <n v="70"/>
    <x v="0"/>
    <x v="1"/>
    <s v="🚺"/>
    <n v="3"/>
    <x v="0"/>
    <x v="0"/>
    <s v="Por vínculo"/>
    <s v="No aplica"/>
    <x v="1"/>
    <x v="1"/>
    <s v="En investigación"/>
    <s v="147"/>
  </r>
  <r>
    <n v="363"/>
    <x v="361"/>
    <x v="361"/>
    <x v="361"/>
    <x v="4"/>
    <x v="338"/>
    <x v="4"/>
    <x v="8"/>
    <s v="-31,423018915313, -64,1493562190664"/>
    <d v="1987-06-14T00:00:00"/>
    <n v="32"/>
    <x v="3"/>
    <x v="0"/>
    <s v="🚺"/>
    <x v="3"/>
    <d v="1981-11-24T00:00:00"/>
    <n v="38"/>
    <x v="1"/>
    <x v="0"/>
    <s v="🚹"/>
    <n v="3"/>
    <x v="0"/>
    <x v="0"/>
    <s v="No aplica"/>
    <s v="Vidrios de comercio rotos"/>
    <x v="1"/>
    <x v="0"/>
    <s v="Cerrado"/>
    <s v="295"/>
  </r>
  <r>
    <n v="364"/>
    <x v="362"/>
    <x v="362"/>
    <x v="362"/>
    <x v="3"/>
    <x v="339"/>
    <x v="9"/>
    <x v="7"/>
    <s v="-31,4015892433235, -64,160442876477"/>
    <d v="1976-10-08T00:00:00"/>
    <n v="41"/>
    <x v="6"/>
    <x v="1"/>
    <s v="🚹"/>
    <x v="1"/>
    <d v="2007-08-08T00:00:00"/>
    <n v="10"/>
    <x v="5"/>
    <x v="0"/>
    <s v="🚹"/>
    <n v="3"/>
    <x v="0"/>
    <x v="0"/>
    <s v="Alevosía"/>
    <s v="No aplica"/>
    <x v="1"/>
    <x v="0"/>
    <s v="Cerrado"/>
    <s v="29"/>
  </r>
  <r>
    <n v="883"/>
    <x v="363"/>
    <x v="363"/>
    <x v="363"/>
    <x v="6"/>
    <x v="288"/>
    <x v="3"/>
    <x v="7"/>
    <s v="-31,4015892433235, -64,160442876477"/>
    <d v="1958-01-15T00:00:00"/>
    <n v="61"/>
    <x v="5"/>
    <x v="1"/>
    <s v="🚹"/>
    <x v="4"/>
    <d v="1990-10-28T00:00:00"/>
    <n v="28"/>
    <x v="6"/>
    <x v="0"/>
    <s v="🚹"/>
    <n v="3"/>
    <x v="1"/>
    <x v="0"/>
    <s v="No aplica"/>
    <s v="Cuentas falsas"/>
    <x v="0"/>
    <x v="0"/>
    <s v="Cerrado"/>
    <s v="No aplica"/>
  </r>
  <r>
    <n v="373"/>
    <x v="364"/>
    <x v="364"/>
    <x v="364"/>
    <x v="0"/>
    <x v="156"/>
    <x v="10"/>
    <x v="4"/>
    <s v="-31,3759272890294, -64,2284587792478"/>
    <d v="1968-02-01T00:00:00"/>
    <n v="50"/>
    <x v="0"/>
    <x v="0"/>
    <s v="🚺"/>
    <x v="4"/>
    <d v="1979-01-09T00:00:00"/>
    <n v="39"/>
    <x v="1"/>
    <x v="0"/>
    <s v="🚹"/>
    <n v="2"/>
    <x v="0"/>
    <x v="3"/>
    <s v="Sin agravantes"/>
    <s v="No aplica"/>
    <x v="1"/>
    <x v="0"/>
    <s v="Cerrado"/>
    <s v="262"/>
  </r>
  <r>
    <n v="376"/>
    <x v="365"/>
    <x v="365"/>
    <x v="365"/>
    <x v="6"/>
    <x v="340"/>
    <x v="4"/>
    <x v="2"/>
    <s v="-31,334500143441, -64,2460773260564"/>
    <d v="1999-08-16T00:00:00"/>
    <n v="17"/>
    <x v="2"/>
    <x v="0"/>
    <s v="🚺"/>
    <x v="3"/>
    <d v="2015-11-24T00:00:00"/>
    <n v="0"/>
    <x v="5"/>
    <x v="1"/>
    <s v="🚺"/>
    <n v="3"/>
    <x v="0"/>
    <x v="2"/>
    <s v="Alevosía"/>
    <s v="No aplica"/>
    <x v="0"/>
    <x v="1"/>
    <s v="Cerrado"/>
    <s v="118"/>
  </r>
  <r>
    <n v="645"/>
    <x v="366"/>
    <x v="366"/>
    <x v="366"/>
    <x v="2"/>
    <x v="341"/>
    <x v="6"/>
    <x v="9"/>
    <s v="-31,4076397196409, -64,2020170430678"/>
    <d v="2000-06-22T00:00:00"/>
    <n v="18"/>
    <x v="1"/>
    <x v="1"/>
    <s v="🚹"/>
    <x v="0"/>
    <d v="1985-11-02T00:00:00"/>
    <n v="33"/>
    <x v="6"/>
    <x v="0"/>
    <s v="🚹"/>
    <n v="2"/>
    <x v="1"/>
    <x v="0"/>
    <s v="No aplica"/>
    <s v="Cuentas falsas"/>
    <x v="1"/>
    <x v="0"/>
    <s v="Cerrado"/>
    <s v="No aplica"/>
  </r>
  <r>
    <n v="471"/>
    <x v="367"/>
    <x v="367"/>
    <x v="367"/>
    <x v="5"/>
    <x v="342"/>
    <x v="6"/>
    <x v="7"/>
    <s v="-31,4015892433235, -64,160442876477"/>
    <d v="1963-09-13T00:00:00"/>
    <n v="55"/>
    <x v="0"/>
    <x v="0"/>
    <s v="🚺"/>
    <x v="2"/>
    <d v="1986-04-21T00:00:00"/>
    <n v="33"/>
    <x v="6"/>
    <x v="1"/>
    <s v="🚺"/>
    <n v="3"/>
    <x v="1"/>
    <x v="0"/>
    <s v="No aplica"/>
    <s v="5kg de cocaína"/>
    <x v="0"/>
    <x v="0"/>
    <s v="Abierto"/>
    <s v="No aplica"/>
  </r>
  <r>
    <n v="377"/>
    <x v="368"/>
    <x v="368"/>
    <x v="368"/>
    <x v="4"/>
    <x v="343"/>
    <x v="11"/>
    <x v="11"/>
    <s v="-31,4506257494184, -64,1733054344705"/>
    <d v="1999-03-08T00:00:00"/>
    <n v="25"/>
    <x v="1"/>
    <x v="0"/>
    <s v="🚺"/>
    <x v="3"/>
    <d v="2008-03-23T00:00:00"/>
    <n v="16"/>
    <x v="5"/>
    <x v="0"/>
    <s v="🚹"/>
    <n v="2"/>
    <x v="0"/>
    <x v="2"/>
    <s v="No aplica"/>
    <s v="Auto modelo XXX, patente XXX XXX"/>
    <x v="1"/>
    <x v="0"/>
    <s v="Abierto"/>
    <s v="260"/>
  </r>
  <r>
    <n v="379"/>
    <x v="369"/>
    <x v="369"/>
    <x v="369"/>
    <x v="5"/>
    <x v="344"/>
    <x v="5"/>
    <x v="6"/>
    <s v="-31,3909520937826, -64,1836424491715"/>
    <d v="1966-03-11T00:00:00"/>
    <n v="55"/>
    <x v="0"/>
    <x v="0"/>
    <s v="🚺"/>
    <x v="3"/>
    <d v="1976-08-28T00:00:00"/>
    <n v="45"/>
    <x v="1"/>
    <x v="0"/>
    <s v="🚹"/>
    <n v="2"/>
    <x v="0"/>
    <x v="0"/>
    <s v="Sin agravantes"/>
    <s v="No aplica"/>
    <x v="1"/>
    <x v="0"/>
    <s v="Abierto"/>
    <s v="272"/>
  </r>
  <r>
    <n v="382"/>
    <x v="370"/>
    <x v="370"/>
    <x v="370"/>
    <x v="3"/>
    <x v="117"/>
    <x v="6"/>
    <x v="1"/>
    <s v="-31,4129883640337, -64,1681120522587"/>
    <d v="1985-12-20T00:00:00"/>
    <n v="33"/>
    <x v="3"/>
    <x v="0"/>
    <s v="🚺"/>
    <x v="0"/>
    <d v="1956-01-06T00:00:00"/>
    <n v="63"/>
    <x v="2"/>
    <x v="0"/>
    <s v="🚹"/>
    <n v="1"/>
    <x v="0"/>
    <x v="0"/>
    <s v="No aplica"/>
    <s v="Plantas de marihuana"/>
    <x v="0"/>
    <x v="1"/>
    <s v="Abierto"/>
    <s v="68"/>
  </r>
  <r>
    <n v="502"/>
    <x v="371"/>
    <x v="371"/>
    <x v="371"/>
    <x v="4"/>
    <x v="345"/>
    <x v="10"/>
    <x v="8"/>
    <s v="-31,423018915313, -64,1493562190664"/>
    <d v="2006-05-21T00:00:00"/>
    <n v="12"/>
    <x v="2"/>
    <x v="1"/>
    <s v="🚹"/>
    <x v="3"/>
    <d v="1940-11-21T00:00:00"/>
    <n v="78"/>
    <x v="0"/>
    <x v="1"/>
    <s v="🚺"/>
    <n v="1"/>
    <x v="1"/>
    <x v="0"/>
    <s v="No aplica"/>
    <s v="Plantas de marihuana"/>
    <x v="0"/>
    <x v="1"/>
    <s v="En investigación"/>
    <s v="No aplica"/>
  </r>
  <r>
    <n v="387"/>
    <x v="68"/>
    <x v="68"/>
    <x v="68"/>
    <x v="6"/>
    <x v="346"/>
    <x v="10"/>
    <x v="7"/>
    <s v="-31,4015892433235, -64,160442876477"/>
    <d v="1985-11-10T00:00:00"/>
    <n v="29"/>
    <x v="3"/>
    <x v="1"/>
    <s v="🚹"/>
    <x v="1"/>
    <d v="2011-09-22T00:00:00"/>
    <n v="3"/>
    <x v="5"/>
    <x v="1"/>
    <s v="🚺"/>
    <n v="2"/>
    <x v="0"/>
    <x v="0"/>
    <s v="No aplica"/>
    <s v="No aplica"/>
    <x v="1"/>
    <x v="0"/>
    <s v="En investigación"/>
    <s v="60"/>
  </r>
  <r>
    <n v="109"/>
    <x v="92"/>
    <x v="92"/>
    <x v="92"/>
    <x v="1"/>
    <x v="113"/>
    <x v="8"/>
    <x v="2"/>
    <s v="-31,334500143441, -64,2460773260564"/>
    <d v="1992-08-23T00:00:00"/>
    <n v="26"/>
    <x v="3"/>
    <x v="1"/>
    <s v="🚹"/>
    <x v="0"/>
    <d v="1951-02-11T00:00:00"/>
    <n v="68"/>
    <x v="0"/>
    <x v="1"/>
    <s v="🚺"/>
    <n v="1"/>
    <x v="1"/>
    <x v="0"/>
    <s v="No aplica"/>
    <s v="Vidrios de comercio rotos"/>
    <x v="1"/>
    <x v="0"/>
    <s v="Abierto"/>
    <s v="No aplica"/>
  </r>
  <r>
    <n v="659"/>
    <x v="372"/>
    <x v="372"/>
    <x v="372"/>
    <x v="5"/>
    <x v="347"/>
    <x v="0"/>
    <x v="2"/>
    <s v="-31,334500143441, -64,2460773260564"/>
    <d v="1961-01-27T00:00:00"/>
    <n v="58"/>
    <x v="5"/>
    <x v="0"/>
    <s v="🚺"/>
    <x v="3"/>
    <d v="1951-11-19T00:00:00"/>
    <n v="67"/>
    <x v="0"/>
    <x v="1"/>
    <s v="🚺"/>
    <n v="2"/>
    <x v="1"/>
    <x v="0"/>
    <s v="No aplica"/>
    <s v="No aplica"/>
    <x v="1"/>
    <x v="1"/>
    <s v="Abierto"/>
    <s v="No aplica"/>
  </r>
  <r>
    <n v="374"/>
    <x v="373"/>
    <x v="373"/>
    <x v="373"/>
    <x v="6"/>
    <x v="348"/>
    <x v="4"/>
    <x v="3"/>
    <s v="-31,4148488101991, -64,1793406489438"/>
    <d v="1963-12-03T00:00:00"/>
    <n v="55"/>
    <x v="0"/>
    <x v="0"/>
    <s v="🚺"/>
    <x v="3"/>
    <d v="1950-05-21T00:00:00"/>
    <n v="68"/>
    <x v="0"/>
    <x v="1"/>
    <s v="🚺"/>
    <n v="1"/>
    <x v="1"/>
    <x v="0"/>
    <s v="No aplica"/>
    <s v="No aplica"/>
    <x v="1"/>
    <x v="1"/>
    <s v="Cerrado"/>
    <s v="No aplica"/>
  </r>
  <r>
    <n v="882"/>
    <x v="373"/>
    <x v="373"/>
    <x v="373"/>
    <x v="6"/>
    <x v="349"/>
    <x v="8"/>
    <x v="3"/>
    <s v="-31,4148488101991, -64,1793406489438"/>
    <d v="2001-09-21T00:00:00"/>
    <n v="17"/>
    <x v="2"/>
    <x v="0"/>
    <s v="🚺"/>
    <x v="1"/>
    <d v="1969-06-02T00:00:00"/>
    <n v="49"/>
    <x v="4"/>
    <x v="0"/>
    <s v="🚹"/>
    <n v="1"/>
    <x v="1"/>
    <x v="0"/>
    <s v="No aplica"/>
    <s v="No aplica"/>
    <x v="1"/>
    <x v="1"/>
    <s v="Abierto"/>
    <s v="No aplica"/>
  </r>
  <r>
    <n v="186"/>
    <x v="374"/>
    <x v="374"/>
    <x v="374"/>
    <x v="2"/>
    <x v="350"/>
    <x v="2"/>
    <x v="2"/>
    <s v="-31,334500143441, -64,2460773260564"/>
    <d v="1975-08-25T00:00:00"/>
    <n v="43"/>
    <x v="6"/>
    <x v="0"/>
    <s v="🚺"/>
    <x v="3"/>
    <d v="1997-12-08T00:00:00"/>
    <n v="21"/>
    <x v="3"/>
    <x v="0"/>
    <s v="🚹"/>
    <n v="3"/>
    <x v="1"/>
    <x v="0"/>
    <s v="Sin agravantes"/>
    <s v="No aplica"/>
    <x v="1"/>
    <x v="0"/>
    <s v="Abierto"/>
    <s v="No aplica"/>
  </r>
  <r>
    <n v="118"/>
    <x v="375"/>
    <x v="375"/>
    <x v="375"/>
    <x v="1"/>
    <x v="351"/>
    <x v="11"/>
    <x v="6"/>
    <s v="-31,3909520937826, -64,1836424491715"/>
    <d v="1974-03-08T00:00:00"/>
    <n v="45"/>
    <x v="6"/>
    <x v="1"/>
    <s v="🚹"/>
    <x v="4"/>
    <d v="1968-02-05T00:00:00"/>
    <n v="51"/>
    <x v="4"/>
    <x v="1"/>
    <s v="🚺"/>
    <n v="3"/>
    <x v="1"/>
    <x v="0"/>
    <s v="No aplica"/>
    <s v="Contrato fraudulento"/>
    <x v="0"/>
    <x v="0"/>
    <s v="Cerrado"/>
    <s v="No aplica"/>
  </r>
  <r>
    <n v="454"/>
    <x v="376"/>
    <x v="376"/>
    <x v="376"/>
    <x v="6"/>
    <x v="352"/>
    <x v="1"/>
    <x v="6"/>
    <s v="-31,3909520937826, -64,1836424491715"/>
    <d v="1970-03-07T00:00:00"/>
    <n v="49"/>
    <x v="0"/>
    <x v="0"/>
    <s v="🚺"/>
    <x v="2"/>
    <d v="1997-08-17T00:00:00"/>
    <n v="21"/>
    <x v="3"/>
    <x v="0"/>
    <s v="🚹"/>
    <n v="2"/>
    <x v="1"/>
    <x v="1"/>
    <s v="No aplica"/>
    <s v="Celular, tarjetas bancarias"/>
    <x v="0"/>
    <x v="0"/>
    <s v="Cerrado"/>
    <s v="No aplica"/>
  </r>
  <r>
    <n v="390"/>
    <x v="377"/>
    <x v="377"/>
    <x v="377"/>
    <x v="5"/>
    <x v="353"/>
    <x v="0"/>
    <x v="11"/>
    <s v="-31,4506257494184, -64,1733054344705"/>
    <d v="1964-12-21T00:00:00"/>
    <n v="51"/>
    <x v="0"/>
    <x v="0"/>
    <s v="🚺"/>
    <x v="4"/>
    <d v="1974-11-28T00:00:00"/>
    <n v="41"/>
    <x v="1"/>
    <x v="1"/>
    <s v="🚺"/>
    <n v="2"/>
    <x v="0"/>
    <x v="0"/>
    <s v="No aplica"/>
    <s v="Cuentas falsas"/>
    <x v="1"/>
    <x v="0"/>
    <s v="Cerrado"/>
    <s v="77"/>
  </r>
  <r>
    <n v="902"/>
    <x v="378"/>
    <x v="378"/>
    <x v="378"/>
    <x v="6"/>
    <x v="354"/>
    <x v="5"/>
    <x v="5"/>
    <s v="-31,3477902896523, -64,2644406169297"/>
    <d v="1962-02-16T00:00:00"/>
    <n v="57"/>
    <x v="5"/>
    <x v="0"/>
    <s v="🚺"/>
    <x v="4"/>
    <d v="1981-05-24T00:00:00"/>
    <n v="38"/>
    <x v="1"/>
    <x v="0"/>
    <s v="🚹"/>
    <n v="2"/>
    <x v="1"/>
    <x v="0"/>
    <s v="Sin agravantes"/>
    <s v="No aplica"/>
    <x v="0"/>
    <x v="1"/>
    <s v="Abierto"/>
    <s v="No aplica"/>
  </r>
  <r>
    <n v="403"/>
    <x v="379"/>
    <x v="379"/>
    <x v="379"/>
    <x v="0"/>
    <x v="355"/>
    <x v="3"/>
    <x v="1"/>
    <s v="-31,4129883640337, -64,1681120522587"/>
    <d v="1957-06-17T00:00:00"/>
    <n v="61"/>
    <x v="5"/>
    <x v="0"/>
    <s v="🚺"/>
    <x v="1"/>
    <d v="1981-02-03T00:00:00"/>
    <n v="38"/>
    <x v="1"/>
    <x v="0"/>
    <s v="🚹"/>
    <n v="2"/>
    <x v="1"/>
    <x v="0"/>
    <s v="No aplica"/>
    <s v="Estafa bancaria"/>
    <x v="1"/>
    <x v="1"/>
    <s v="En investigación"/>
    <s v="No aplica"/>
  </r>
  <r>
    <n v="394"/>
    <x v="298"/>
    <x v="298"/>
    <x v="298"/>
    <x v="3"/>
    <x v="72"/>
    <x v="5"/>
    <x v="3"/>
    <s v="-31,4148488101991, -64,1793406489438"/>
    <d v="1962-12-19T00:00:00"/>
    <n v="55"/>
    <x v="0"/>
    <x v="1"/>
    <s v="🚹"/>
    <x v="0"/>
    <d v="2001-02-27T00:00:00"/>
    <n v="17"/>
    <x v="5"/>
    <x v="1"/>
    <s v="🚺"/>
    <n v="2"/>
    <x v="0"/>
    <x v="2"/>
    <s v="Sin agravantes"/>
    <s v="No aplica"/>
    <x v="1"/>
    <x v="0"/>
    <s v="Abierto"/>
    <s v="265"/>
  </r>
  <r>
    <n v="785"/>
    <x v="380"/>
    <x v="380"/>
    <x v="380"/>
    <x v="1"/>
    <x v="256"/>
    <x v="8"/>
    <x v="0"/>
    <s v="-31,4800162965848, -64,2094200976892"/>
    <d v="1955-09-16T00:00:00"/>
    <n v="63"/>
    <x v="5"/>
    <x v="0"/>
    <s v="🚺"/>
    <x v="0"/>
    <d v="1952-04-03T00:00:00"/>
    <n v="67"/>
    <x v="0"/>
    <x v="1"/>
    <s v="🚺"/>
    <n v="2"/>
    <x v="1"/>
    <x v="0"/>
    <s v="Sin agravantes"/>
    <s v="No aplica"/>
    <x v="0"/>
    <x v="0"/>
    <s v="En investigación"/>
    <s v="No aplica"/>
  </r>
  <r>
    <n v="396"/>
    <x v="381"/>
    <x v="381"/>
    <x v="381"/>
    <x v="5"/>
    <x v="356"/>
    <x v="1"/>
    <x v="3"/>
    <s v="-31,4148488101991, -64,1793406489438"/>
    <d v="2000-01-01T00:00:00"/>
    <n v="18"/>
    <x v="1"/>
    <x v="1"/>
    <s v="🚹"/>
    <x v="3"/>
    <d v="1996-03-18T00:00:00"/>
    <n v="22"/>
    <x v="3"/>
    <x v="1"/>
    <s v="🚺"/>
    <n v="3"/>
    <x v="0"/>
    <x v="0"/>
    <s v="No aplica"/>
    <s v="Grafitis en edificios públicos"/>
    <x v="1"/>
    <x v="0"/>
    <s v="En investigación"/>
    <s v="54"/>
  </r>
  <r>
    <n v="397"/>
    <x v="382"/>
    <x v="382"/>
    <x v="382"/>
    <x v="3"/>
    <x v="357"/>
    <x v="5"/>
    <x v="9"/>
    <s v="-31,4076397196409, -64,2020170430678"/>
    <d v="1964-11-11T00:00:00"/>
    <n v="59"/>
    <x v="5"/>
    <x v="1"/>
    <s v="🚹"/>
    <x v="2"/>
    <d v="1981-10-15T00:00:00"/>
    <n v="42"/>
    <x v="1"/>
    <x v="0"/>
    <s v="🚹"/>
    <n v="3"/>
    <x v="0"/>
    <x v="0"/>
    <s v="No aplica"/>
    <s v="Pasta base"/>
    <x v="0"/>
    <x v="0"/>
    <s v="Abierto"/>
    <s v="296"/>
  </r>
  <r>
    <n v="398"/>
    <x v="383"/>
    <x v="383"/>
    <x v="383"/>
    <x v="5"/>
    <x v="358"/>
    <x v="9"/>
    <x v="7"/>
    <s v="-31,4015892433235, -64,160442876477"/>
    <d v="1962-09-01T00:00:00"/>
    <n v="55"/>
    <x v="0"/>
    <x v="1"/>
    <s v="🚹"/>
    <x v="4"/>
    <d v="1978-05-20T00:00:00"/>
    <n v="39"/>
    <x v="1"/>
    <x v="0"/>
    <s v="🚹"/>
    <n v="2"/>
    <x v="0"/>
    <x v="0"/>
    <s v="No aplica"/>
    <s v="Lavado de dinero"/>
    <x v="1"/>
    <x v="0"/>
    <s v="Cerrado"/>
    <s v="89"/>
  </r>
  <r>
    <n v="401"/>
    <x v="384"/>
    <x v="384"/>
    <x v="384"/>
    <x v="2"/>
    <x v="89"/>
    <x v="10"/>
    <x v="4"/>
    <s v="-31,3759272890294, -64,2284587792478"/>
    <d v="1962-02-25T00:00:00"/>
    <n v="55"/>
    <x v="0"/>
    <x v="1"/>
    <s v="🚹"/>
    <x v="3"/>
    <d v="2013-02-16T00:00:00"/>
    <n v="4"/>
    <x v="5"/>
    <x v="0"/>
    <s v="🚹"/>
    <n v="2"/>
    <x v="0"/>
    <x v="0"/>
    <s v="No aplica"/>
    <s v="Cartera con documentación"/>
    <x v="1"/>
    <x v="1"/>
    <s v="Cerrado"/>
    <s v="87"/>
  </r>
  <r>
    <n v="404"/>
    <x v="282"/>
    <x v="282"/>
    <x v="282"/>
    <x v="5"/>
    <x v="207"/>
    <x v="11"/>
    <x v="4"/>
    <s v="-31,3759272890294, -64,2284587792478"/>
    <d v="1962-08-17T00:00:00"/>
    <n v="58"/>
    <x v="5"/>
    <x v="1"/>
    <s v="🚹"/>
    <x v="1"/>
    <d v="2000-06-21T00:00:00"/>
    <n v="20"/>
    <x v="3"/>
    <x v="1"/>
    <s v="🚺"/>
    <n v="1"/>
    <x v="0"/>
    <x v="0"/>
    <s v="No aplica"/>
    <s v="Cuentas falsas"/>
    <x v="0"/>
    <x v="1"/>
    <s v="En investigación"/>
    <s v="293"/>
  </r>
  <r>
    <n v="405"/>
    <x v="385"/>
    <x v="385"/>
    <x v="385"/>
    <x v="3"/>
    <x v="122"/>
    <x v="6"/>
    <x v="7"/>
    <s v="-31,4015892433235, -64,160442876477"/>
    <d v="2001-11-19T00:00:00"/>
    <n v="13"/>
    <x v="2"/>
    <x v="1"/>
    <s v="🚹"/>
    <x v="3"/>
    <d v="2003-06-13T00:00:00"/>
    <n v="11"/>
    <x v="5"/>
    <x v="1"/>
    <s v="🚺"/>
    <n v="2"/>
    <x v="0"/>
    <x v="3"/>
    <s v="Alevosía"/>
    <s v="No aplica"/>
    <x v="1"/>
    <x v="0"/>
    <s v="Cerrado"/>
    <s v="240"/>
  </r>
  <r>
    <n v="556"/>
    <x v="386"/>
    <x v="386"/>
    <x v="386"/>
    <x v="2"/>
    <x v="59"/>
    <x v="1"/>
    <x v="3"/>
    <s v="-31,4148488101991, -64,1793406489438"/>
    <d v="1975-05-24T00:00:00"/>
    <n v="44"/>
    <x v="6"/>
    <x v="0"/>
    <s v="🚺"/>
    <x v="0"/>
    <d v="1972-08-08T00:00:00"/>
    <n v="46"/>
    <x v="4"/>
    <x v="0"/>
    <s v="🚹"/>
    <n v="3"/>
    <x v="1"/>
    <x v="3"/>
    <s v="Por vínculo"/>
    <s v="No aplica"/>
    <x v="1"/>
    <x v="1"/>
    <s v="En investigación"/>
    <s v="No aplica"/>
  </r>
  <r>
    <n v="409"/>
    <x v="387"/>
    <x v="387"/>
    <x v="387"/>
    <x v="2"/>
    <x v="359"/>
    <x v="3"/>
    <x v="9"/>
    <s v="-31,4076397196409, -64,2020170430678"/>
    <d v="1976-06-03T00:00:00"/>
    <n v="44"/>
    <x v="6"/>
    <x v="0"/>
    <s v="🚺"/>
    <x v="1"/>
    <d v="2008-01-13T00:00:00"/>
    <n v="12"/>
    <x v="5"/>
    <x v="1"/>
    <s v="🚺"/>
    <n v="1"/>
    <x v="0"/>
    <x v="0"/>
    <s v="No aplica"/>
    <s v="Estafa bancaria"/>
    <x v="0"/>
    <x v="1"/>
    <s v="En investigación"/>
    <s v="191"/>
  </r>
  <r>
    <n v="411"/>
    <x v="388"/>
    <x v="388"/>
    <x v="388"/>
    <x v="4"/>
    <x v="360"/>
    <x v="2"/>
    <x v="5"/>
    <s v="-31,3477902896523, -64,2644406169297"/>
    <d v="1969-09-17T00:00:00"/>
    <n v="55"/>
    <x v="0"/>
    <x v="1"/>
    <s v="🚹"/>
    <x v="1"/>
    <d v="1974-03-16T00:00:00"/>
    <n v="50"/>
    <x v="4"/>
    <x v="1"/>
    <s v="🚺"/>
    <n v="1"/>
    <x v="0"/>
    <x v="0"/>
    <s v="No aplica"/>
    <s v="Dinero público desviado"/>
    <x v="1"/>
    <x v="0"/>
    <s v="Cerrado"/>
    <s v="41"/>
  </r>
  <r>
    <n v="129"/>
    <x v="389"/>
    <x v="389"/>
    <x v="389"/>
    <x v="4"/>
    <x v="271"/>
    <x v="0"/>
    <x v="1"/>
    <s v="-31,4129883640337, -64,1681120522587"/>
    <d v="1991-07-23T00:00:00"/>
    <n v="27"/>
    <x v="3"/>
    <x v="0"/>
    <s v="🚺"/>
    <x v="1"/>
    <d v="1941-02-28T00:00:00"/>
    <n v="78"/>
    <x v="0"/>
    <x v="0"/>
    <s v="🚹"/>
    <n v="2"/>
    <x v="1"/>
    <x v="0"/>
    <s v="Por vínculo"/>
    <s v="No aplica"/>
    <x v="1"/>
    <x v="1"/>
    <s v="Abierto"/>
    <s v="No aplica"/>
  </r>
  <r>
    <n v="755"/>
    <x v="390"/>
    <x v="390"/>
    <x v="390"/>
    <x v="5"/>
    <x v="358"/>
    <x v="6"/>
    <x v="3"/>
    <s v="-31,4148488101991, -64,1793406489438"/>
    <d v="1975-03-08T00:00:00"/>
    <n v="44"/>
    <x v="6"/>
    <x v="1"/>
    <s v="🚹"/>
    <x v="2"/>
    <d v="1984-08-25T00:00:00"/>
    <n v="34"/>
    <x v="6"/>
    <x v="0"/>
    <s v="🚹"/>
    <n v="3"/>
    <x v="1"/>
    <x v="0"/>
    <s v="No aplica"/>
    <s v="Estafa bancaria"/>
    <x v="1"/>
    <x v="0"/>
    <s v="En investigación"/>
    <s v="No aplica"/>
  </r>
  <r>
    <n v="563"/>
    <x v="391"/>
    <x v="391"/>
    <x v="391"/>
    <x v="2"/>
    <x v="361"/>
    <x v="3"/>
    <x v="11"/>
    <s v="-31,4506257494184, -64,1733054344705"/>
    <d v="2006-08-28T00:00:00"/>
    <n v="12"/>
    <x v="2"/>
    <x v="0"/>
    <s v="🚺"/>
    <x v="4"/>
    <d v="1951-04-03T00:00:00"/>
    <n v="68"/>
    <x v="0"/>
    <x v="1"/>
    <s v="🚺"/>
    <n v="3"/>
    <x v="1"/>
    <x v="0"/>
    <s v="No aplica"/>
    <s v="Plantas de marihuana"/>
    <x v="1"/>
    <x v="0"/>
    <s v="En investigación"/>
    <s v="No aplica"/>
  </r>
  <r>
    <n v="414"/>
    <x v="392"/>
    <x v="392"/>
    <x v="392"/>
    <x v="1"/>
    <x v="154"/>
    <x v="7"/>
    <x v="10"/>
    <s v="-31,4285567311661, -64,1853198281007"/>
    <d v="1971-08-23T00:00:00"/>
    <n v="46"/>
    <x v="0"/>
    <x v="1"/>
    <s v="🚹"/>
    <x v="3"/>
    <d v="1998-02-15T00:00:00"/>
    <n v="20"/>
    <x v="3"/>
    <x v="1"/>
    <s v="🚺"/>
    <n v="3"/>
    <x v="0"/>
    <x v="4"/>
    <s v="No aplica"/>
    <s v="Laptop marca HP"/>
    <x v="1"/>
    <x v="0"/>
    <s v="Cerrado"/>
    <s v="281"/>
  </r>
  <r>
    <n v="327"/>
    <x v="393"/>
    <x v="393"/>
    <x v="393"/>
    <x v="1"/>
    <x v="344"/>
    <x v="11"/>
    <x v="6"/>
    <s v="-31,3909520937826, -64,1836424491715"/>
    <d v="1963-06-08T00:00:00"/>
    <n v="56"/>
    <x v="5"/>
    <x v="0"/>
    <s v="🚺"/>
    <x v="1"/>
    <d v="1977-03-11T00:00:00"/>
    <n v="42"/>
    <x v="1"/>
    <x v="0"/>
    <s v="🚹"/>
    <n v="2"/>
    <x v="1"/>
    <x v="0"/>
    <s v="No aplica"/>
    <s v="Dinero público desviado"/>
    <x v="1"/>
    <x v="0"/>
    <s v="Cerrado"/>
    <s v="No aplica"/>
  </r>
  <r>
    <n v="415"/>
    <x v="394"/>
    <x v="394"/>
    <x v="394"/>
    <x v="5"/>
    <x v="362"/>
    <x v="9"/>
    <x v="0"/>
    <s v="-31,4800162965848, -64,2094200976892"/>
    <d v="1957-05-13T00:00:00"/>
    <n v="63"/>
    <x v="5"/>
    <x v="0"/>
    <s v="🚺"/>
    <x v="1"/>
    <d v="1947-06-09T00:00:00"/>
    <n v="73"/>
    <x v="0"/>
    <x v="0"/>
    <s v="🚹"/>
    <n v="2"/>
    <x v="0"/>
    <x v="2"/>
    <s v="No aplica"/>
    <s v="Laptop marca HP"/>
    <x v="1"/>
    <x v="0"/>
    <s v="Abierto"/>
    <s v="152"/>
  </r>
  <r>
    <n v="492"/>
    <x v="395"/>
    <x v="395"/>
    <x v="395"/>
    <x v="3"/>
    <x v="356"/>
    <x v="1"/>
    <x v="1"/>
    <s v="-31,4129883640337, -64,1681120522587"/>
    <d v="1958-05-19T00:00:00"/>
    <n v="61"/>
    <x v="5"/>
    <x v="1"/>
    <s v="🚹"/>
    <x v="1"/>
    <d v="1963-06-02T00:00:00"/>
    <n v="56"/>
    <x v="2"/>
    <x v="0"/>
    <s v="🚹"/>
    <n v="2"/>
    <x v="1"/>
    <x v="0"/>
    <s v="No aplica"/>
    <s v="Lavado de dinero"/>
    <x v="1"/>
    <x v="0"/>
    <s v="Abierto"/>
    <s v="No aplica"/>
  </r>
  <r>
    <n v="416"/>
    <x v="396"/>
    <x v="396"/>
    <x v="396"/>
    <x v="1"/>
    <x v="363"/>
    <x v="9"/>
    <x v="11"/>
    <s v="-31,4506257494184, -64,1733054344705"/>
    <d v="2002-01-09T00:00:00"/>
    <n v="14"/>
    <x v="2"/>
    <x v="0"/>
    <s v="🚺"/>
    <x v="4"/>
    <d v="2015-02-10T00:00:00"/>
    <n v="1"/>
    <x v="5"/>
    <x v="0"/>
    <s v="🚹"/>
    <n v="3"/>
    <x v="0"/>
    <x v="0"/>
    <s v="No aplica"/>
    <s v="Grafitis en edificios públicos"/>
    <x v="1"/>
    <x v="0"/>
    <s v="Abierto"/>
    <s v="29"/>
  </r>
  <r>
    <n v="420"/>
    <x v="397"/>
    <x v="397"/>
    <x v="397"/>
    <x v="0"/>
    <x v="364"/>
    <x v="6"/>
    <x v="1"/>
    <s v="-31,4129883640337, -64,1681120522587"/>
    <d v="1956-09-07T00:00:00"/>
    <n v="63"/>
    <x v="5"/>
    <x v="0"/>
    <s v="🚺"/>
    <x v="0"/>
    <d v="2010-08-12T00:00:00"/>
    <n v="9"/>
    <x v="5"/>
    <x v="0"/>
    <s v="🚹"/>
    <n v="2"/>
    <x v="0"/>
    <x v="0"/>
    <s v="No aplica"/>
    <s v="Grafitis en edificios públicos"/>
    <x v="1"/>
    <x v="0"/>
    <s v="Cerrado"/>
    <s v="43"/>
  </r>
  <r>
    <n v="424"/>
    <x v="398"/>
    <x v="398"/>
    <x v="398"/>
    <x v="3"/>
    <x v="143"/>
    <x v="3"/>
    <x v="2"/>
    <s v="-31,334500143441, -64,2460773260564"/>
    <d v="1995-02-10T00:00:00"/>
    <n v="29"/>
    <x v="3"/>
    <x v="0"/>
    <s v="🚺"/>
    <x v="2"/>
    <d v="1983-07-10T00:00:00"/>
    <n v="40"/>
    <x v="1"/>
    <x v="0"/>
    <s v="🚹"/>
    <n v="3"/>
    <x v="0"/>
    <x v="4"/>
    <s v="Por vínculo"/>
    <s v="No aplica"/>
    <x v="1"/>
    <x v="1"/>
    <s v="Cerrado"/>
    <s v="112"/>
  </r>
  <r>
    <n v="900"/>
    <x v="236"/>
    <x v="236"/>
    <x v="236"/>
    <x v="3"/>
    <x v="365"/>
    <x v="5"/>
    <x v="4"/>
    <s v="-31,3759272890294, -64,2284587792478"/>
    <d v="1990-11-13T00:00:00"/>
    <n v="28"/>
    <x v="3"/>
    <x v="1"/>
    <s v="🚹"/>
    <x v="3"/>
    <d v="2008-12-08T00:00:00"/>
    <n v="10"/>
    <x v="5"/>
    <x v="1"/>
    <s v="🚺"/>
    <n v="3"/>
    <x v="1"/>
    <x v="0"/>
    <s v="No aplica"/>
    <s v="Pasta base"/>
    <x v="1"/>
    <x v="0"/>
    <s v="Cerrado"/>
    <s v="No aplica"/>
  </r>
  <r>
    <n v="426"/>
    <x v="399"/>
    <x v="399"/>
    <x v="399"/>
    <x v="2"/>
    <x v="366"/>
    <x v="7"/>
    <x v="11"/>
    <s v="-31,4506257494184, -64,1733054344705"/>
    <d v="1970-01-27T00:00:00"/>
    <n v="52"/>
    <x v="0"/>
    <x v="1"/>
    <s v="🚹"/>
    <x v="4"/>
    <d v="1957-09-27T00:00:00"/>
    <n v="64"/>
    <x v="2"/>
    <x v="0"/>
    <s v="🚹"/>
    <n v="1"/>
    <x v="0"/>
    <x v="0"/>
    <s v="No aplica"/>
    <s v="Vidrios de comercio rotos"/>
    <x v="0"/>
    <x v="0"/>
    <s v="Cerrado"/>
    <s v="246"/>
  </r>
  <r>
    <n v="427"/>
    <x v="184"/>
    <x v="184"/>
    <x v="184"/>
    <x v="3"/>
    <x v="367"/>
    <x v="4"/>
    <x v="8"/>
    <s v="-31,423018915313, -64,1493562190664"/>
    <d v="1990-07-22T00:00:00"/>
    <n v="33"/>
    <x v="3"/>
    <x v="1"/>
    <s v="🚹"/>
    <x v="4"/>
    <d v="1966-11-17T00:00:00"/>
    <n v="57"/>
    <x v="2"/>
    <x v="1"/>
    <s v="🚺"/>
    <n v="1"/>
    <x v="0"/>
    <x v="0"/>
    <s v="No aplica"/>
    <s v="No aplica"/>
    <x v="1"/>
    <x v="0"/>
    <s v="Cerrado"/>
    <s v="49"/>
  </r>
  <r>
    <n v="431"/>
    <x v="400"/>
    <x v="400"/>
    <x v="400"/>
    <x v="4"/>
    <x v="368"/>
    <x v="1"/>
    <x v="7"/>
    <s v="-31,4015892433235, -64,160442876477"/>
    <d v="1960-11-09T00:00:00"/>
    <n v="58"/>
    <x v="5"/>
    <x v="1"/>
    <s v="🚹"/>
    <x v="4"/>
    <d v="1960-12-01T00:00:00"/>
    <n v="58"/>
    <x v="2"/>
    <x v="0"/>
    <s v="🚹"/>
    <n v="1"/>
    <x v="0"/>
    <x v="0"/>
    <s v="No aplica"/>
    <s v="5kg de cocaína"/>
    <x v="1"/>
    <x v="1"/>
    <s v="Abierto"/>
    <s v="237"/>
  </r>
  <r>
    <n v="791"/>
    <x v="401"/>
    <x v="401"/>
    <x v="401"/>
    <x v="1"/>
    <x v="369"/>
    <x v="5"/>
    <x v="10"/>
    <s v="-31,4285567311661, -64,1853198281007"/>
    <d v="1980-03-11T00:00:00"/>
    <n v="39"/>
    <x v="6"/>
    <x v="1"/>
    <s v="🚹"/>
    <x v="4"/>
    <d v="1970-07-19T00:00:00"/>
    <n v="49"/>
    <x v="4"/>
    <x v="1"/>
    <s v="🚺"/>
    <n v="3"/>
    <x v="1"/>
    <x v="0"/>
    <s v="No aplica"/>
    <s v="Grafitis en edificios públicos"/>
    <x v="1"/>
    <x v="1"/>
    <s v="En investigación"/>
    <s v="No aplica"/>
  </r>
  <r>
    <n v="432"/>
    <x v="402"/>
    <x v="402"/>
    <x v="402"/>
    <x v="5"/>
    <x v="370"/>
    <x v="3"/>
    <x v="8"/>
    <s v="-31,423018915313, -64,1493562190664"/>
    <d v="2005-07-14T00:00:00"/>
    <n v="13"/>
    <x v="2"/>
    <x v="0"/>
    <s v="🚺"/>
    <x v="4"/>
    <d v="2014-04-07T00:00:00"/>
    <n v="4"/>
    <x v="5"/>
    <x v="1"/>
    <s v="🚺"/>
    <n v="2"/>
    <x v="0"/>
    <x v="0"/>
    <s v="No aplica"/>
    <s v="Estafa bancaria"/>
    <x v="1"/>
    <x v="1"/>
    <s v="Cerrado"/>
    <s v="165"/>
  </r>
  <r>
    <n v="434"/>
    <x v="184"/>
    <x v="184"/>
    <x v="184"/>
    <x v="3"/>
    <x v="331"/>
    <x v="8"/>
    <x v="3"/>
    <s v="-31,4148488101991, -64,1793406489438"/>
    <d v="1966-01-25T00:00:00"/>
    <n v="57"/>
    <x v="5"/>
    <x v="0"/>
    <s v="🚺"/>
    <x v="0"/>
    <d v="1978-06-24T00:00:00"/>
    <n v="45"/>
    <x v="1"/>
    <x v="1"/>
    <s v="🚺"/>
    <n v="3"/>
    <x v="0"/>
    <x v="0"/>
    <s v="No aplica"/>
    <s v="Dinero público desviado"/>
    <x v="0"/>
    <x v="0"/>
    <s v="Cerrado"/>
    <s v="24"/>
  </r>
  <r>
    <n v="435"/>
    <x v="403"/>
    <x v="403"/>
    <x v="403"/>
    <x v="5"/>
    <x v="371"/>
    <x v="11"/>
    <x v="5"/>
    <s v="-31,3477902896523, -64,2644406169297"/>
    <d v="1953-11-28T00:00:00"/>
    <n v="70"/>
    <x v="4"/>
    <x v="1"/>
    <s v="🚹"/>
    <x v="2"/>
    <d v="2009-12-27T00:00:00"/>
    <n v="14"/>
    <x v="5"/>
    <x v="0"/>
    <s v="🚹"/>
    <n v="3"/>
    <x v="0"/>
    <x v="0"/>
    <s v="No aplica"/>
    <s v="Ropa de marca"/>
    <x v="1"/>
    <x v="0"/>
    <s v="Cerrado"/>
    <s v="61"/>
  </r>
  <r>
    <n v="437"/>
    <x v="404"/>
    <x v="404"/>
    <x v="404"/>
    <x v="4"/>
    <x v="185"/>
    <x v="5"/>
    <x v="6"/>
    <s v="-31,3909520937826, -64,1836424491715"/>
    <d v="2001-06-13T00:00:00"/>
    <n v="14"/>
    <x v="2"/>
    <x v="0"/>
    <s v="🚺"/>
    <x v="3"/>
    <d v="1959-02-11T00:00:00"/>
    <n v="57"/>
    <x v="2"/>
    <x v="0"/>
    <s v="🚹"/>
    <n v="1"/>
    <x v="0"/>
    <x v="3"/>
    <s v="No aplica"/>
    <s v="Celular, tarjetas bancarias"/>
    <x v="0"/>
    <x v="0"/>
    <s v="Cerrado"/>
    <s v="89"/>
  </r>
  <r>
    <n v="440"/>
    <x v="405"/>
    <x v="405"/>
    <x v="405"/>
    <x v="5"/>
    <x v="372"/>
    <x v="11"/>
    <x v="11"/>
    <s v="-31,4506257494184, -64,1733054344705"/>
    <d v="1970-10-11T00:00:00"/>
    <n v="47"/>
    <x v="0"/>
    <x v="1"/>
    <s v="🚹"/>
    <x v="4"/>
    <d v="1966-01-20T00:00:00"/>
    <n v="51"/>
    <x v="4"/>
    <x v="1"/>
    <s v="🚺"/>
    <n v="1"/>
    <x v="0"/>
    <x v="3"/>
    <s v="Alevosía"/>
    <s v="No aplica"/>
    <x v="1"/>
    <x v="0"/>
    <s v="Abierto"/>
    <s v="62"/>
  </r>
  <r>
    <n v="442"/>
    <x v="406"/>
    <x v="406"/>
    <x v="406"/>
    <x v="5"/>
    <x v="373"/>
    <x v="8"/>
    <x v="2"/>
    <s v="-31,334500143441, -64,2460773260564"/>
    <d v="2004-05-02T00:00:00"/>
    <n v="16"/>
    <x v="2"/>
    <x v="1"/>
    <s v="🚹"/>
    <x v="0"/>
    <d v="2003-05-22T00:00:00"/>
    <n v="17"/>
    <x v="5"/>
    <x v="0"/>
    <s v="🚹"/>
    <n v="2"/>
    <x v="0"/>
    <x v="4"/>
    <s v="No aplica"/>
    <s v="Celular, tarjetas bancarias"/>
    <x v="1"/>
    <x v="1"/>
    <s v="Cerrado"/>
    <s v="171"/>
  </r>
  <r>
    <n v="8"/>
    <x v="407"/>
    <x v="407"/>
    <x v="407"/>
    <x v="4"/>
    <x v="374"/>
    <x v="4"/>
    <x v="3"/>
    <s v="-31,4148488101991, -64,1793406489438"/>
    <d v="1980-03-28T00:00:00"/>
    <n v="39"/>
    <x v="6"/>
    <x v="0"/>
    <s v="🚺"/>
    <x v="4"/>
    <d v="2001-06-22T00:00:00"/>
    <n v="18"/>
    <x v="3"/>
    <x v="1"/>
    <s v="🚺"/>
    <n v="1"/>
    <x v="1"/>
    <x v="0"/>
    <s v="No aplica"/>
    <s v="5kg de cocaína"/>
    <x v="1"/>
    <x v="0"/>
    <s v="Cerrado"/>
    <s v="No aplica"/>
  </r>
  <r>
    <n v="216"/>
    <x v="408"/>
    <x v="408"/>
    <x v="408"/>
    <x v="1"/>
    <x v="375"/>
    <x v="0"/>
    <x v="7"/>
    <s v="-31,4015892433235, -64,160442876477"/>
    <d v="1980-02-24T00:00:00"/>
    <n v="39"/>
    <x v="6"/>
    <x v="1"/>
    <s v="🚹"/>
    <x v="2"/>
    <d v="1998-07-09T00:00:00"/>
    <n v="21"/>
    <x v="3"/>
    <x v="1"/>
    <s v="🚺"/>
    <n v="1"/>
    <x v="1"/>
    <x v="4"/>
    <s v="Alevosía"/>
    <s v="No aplica"/>
    <x v="1"/>
    <x v="1"/>
    <s v="En investigación"/>
    <s v="No aplica"/>
  </r>
  <r>
    <n v="924"/>
    <x v="409"/>
    <x v="409"/>
    <x v="409"/>
    <x v="2"/>
    <x v="376"/>
    <x v="5"/>
    <x v="9"/>
    <s v="-31,4076397196409, -64,2020170430678"/>
    <d v="1954-12-03T00:00:00"/>
    <n v="64"/>
    <x v="5"/>
    <x v="0"/>
    <s v="🚺"/>
    <x v="2"/>
    <d v="1997-04-15T00:00:00"/>
    <n v="22"/>
    <x v="3"/>
    <x v="1"/>
    <s v="🚺"/>
    <n v="3"/>
    <x v="1"/>
    <x v="0"/>
    <s v="No aplica"/>
    <s v="Plantas de marihuana"/>
    <x v="1"/>
    <x v="0"/>
    <s v="Cerrado"/>
    <s v="No aplica"/>
  </r>
  <r>
    <n v="450"/>
    <x v="410"/>
    <x v="410"/>
    <x v="410"/>
    <x v="4"/>
    <x v="377"/>
    <x v="5"/>
    <x v="10"/>
    <s v="-31,4285567311661, -64,1853198281007"/>
    <d v="1953-04-10T00:00:00"/>
    <n v="66"/>
    <x v="4"/>
    <x v="0"/>
    <s v="🚺"/>
    <x v="1"/>
    <d v="1974-04-05T00:00:00"/>
    <n v="45"/>
    <x v="1"/>
    <x v="0"/>
    <s v="🚹"/>
    <n v="1"/>
    <x v="1"/>
    <x v="0"/>
    <s v="No aplica"/>
    <s v="Evasión fiscal"/>
    <x v="1"/>
    <x v="0"/>
    <s v="Cerrado"/>
    <s v="No aplica"/>
  </r>
  <r>
    <n v="452"/>
    <x v="411"/>
    <x v="411"/>
    <x v="411"/>
    <x v="4"/>
    <x v="12"/>
    <x v="4"/>
    <x v="11"/>
    <s v="-31,4506257494184, -64,1733054344705"/>
    <d v="1989-08-14T00:00:00"/>
    <n v="30"/>
    <x v="3"/>
    <x v="1"/>
    <s v="🚹"/>
    <x v="2"/>
    <d v="2006-10-27T00:00:00"/>
    <n v="12"/>
    <x v="5"/>
    <x v="1"/>
    <s v="🚺"/>
    <n v="2"/>
    <x v="0"/>
    <x v="0"/>
    <s v="No aplica"/>
    <s v="Evasión fiscal"/>
    <x v="1"/>
    <x v="0"/>
    <s v="Abierto"/>
    <s v="177"/>
  </r>
  <r>
    <n v="453"/>
    <x v="412"/>
    <x v="412"/>
    <x v="412"/>
    <x v="5"/>
    <x v="378"/>
    <x v="8"/>
    <x v="8"/>
    <s v="-31,423018915313, -64,1493562190664"/>
    <d v="1967-12-11T00:00:00"/>
    <n v="47"/>
    <x v="0"/>
    <x v="1"/>
    <s v="🚹"/>
    <x v="0"/>
    <d v="1997-10-16T00:00:00"/>
    <n v="17"/>
    <x v="5"/>
    <x v="1"/>
    <s v="🚺"/>
    <n v="3"/>
    <x v="0"/>
    <x v="0"/>
    <s v="Sin agravantes"/>
    <s v="No aplica"/>
    <x v="1"/>
    <x v="0"/>
    <s v="Abierto"/>
    <s v="102"/>
  </r>
  <r>
    <n v="455"/>
    <x v="413"/>
    <x v="413"/>
    <x v="413"/>
    <x v="4"/>
    <x v="379"/>
    <x v="9"/>
    <x v="9"/>
    <s v="-31,4076397196409, -64,2020170430678"/>
    <d v="1966-11-11T00:00:00"/>
    <n v="57"/>
    <x v="5"/>
    <x v="1"/>
    <s v="🚹"/>
    <x v="2"/>
    <d v="1976-06-07T00:00:00"/>
    <n v="48"/>
    <x v="4"/>
    <x v="1"/>
    <s v="🚺"/>
    <n v="2"/>
    <x v="0"/>
    <x v="0"/>
    <s v="No aplica"/>
    <s v="Dinero público desviado"/>
    <x v="1"/>
    <x v="1"/>
    <s v="Cerrado"/>
    <s v="266"/>
  </r>
  <r>
    <n v="707"/>
    <x v="414"/>
    <x v="414"/>
    <x v="414"/>
    <x v="2"/>
    <x v="380"/>
    <x v="2"/>
    <x v="10"/>
    <s v="-31,4285567311661, -64,1853198281007"/>
    <d v="1990-06-03T00:00:00"/>
    <n v="29"/>
    <x v="3"/>
    <x v="1"/>
    <s v="🚹"/>
    <x v="0"/>
    <d v="1988-04-06T00:00:00"/>
    <n v="31"/>
    <x v="6"/>
    <x v="1"/>
    <s v="🚺"/>
    <n v="1"/>
    <x v="1"/>
    <x v="0"/>
    <s v="No aplica"/>
    <s v="Vidrios de comercio rotos"/>
    <x v="0"/>
    <x v="1"/>
    <s v="En investigación"/>
    <s v="No aplica"/>
  </r>
  <r>
    <n v="372"/>
    <x v="415"/>
    <x v="415"/>
    <x v="415"/>
    <x v="3"/>
    <x v="381"/>
    <x v="9"/>
    <x v="5"/>
    <s v="-31,3477902896523, -64,2644406169297"/>
    <d v="1975-12-21T00:00:00"/>
    <n v="43"/>
    <x v="6"/>
    <x v="1"/>
    <s v="🚹"/>
    <x v="4"/>
    <d v="1962-01-12T00:00:00"/>
    <n v="57"/>
    <x v="2"/>
    <x v="0"/>
    <s v="🚹"/>
    <n v="2"/>
    <x v="1"/>
    <x v="2"/>
    <s v="Con ensañamiento"/>
    <s v="No aplica"/>
    <x v="1"/>
    <x v="0"/>
    <s v="Cerrado"/>
    <s v="No aplica"/>
  </r>
  <r>
    <n v="568"/>
    <x v="415"/>
    <x v="415"/>
    <x v="415"/>
    <x v="3"/>
    <x v="382"/>
    <x v="0"/>
    <x v="11"/>
    <s v="-31,4506257494184, -64,1733054344705"/>
    <d v="1953-04-18T00:00:00"/>
    <n v="66"/>
    <x v="4"/>
    <x v="1"/>
    <s v="🚹"/>
    <x v="4"/>
    <d v="2010-03-15T00:00:00"/>
    <n v="9"/>
    <x v="5"/>
    <x v="0"/>
    <s v="🚹"/>
    <n v="1"/>
    <x v="1"/>
    <x v="0"/>
    <s v="No aplica"/>
    <s v="Cartera con documentación"/>
    <x v="1"/>
    <x v="1"/>
    <s v="Cerrado"/>
    <s v="No aplica"/>
  </r>
  <r>
    <n v="482"/>
    <x v="416"/>
    <x v="416"/>
    <x v="416"/>
    <x v="1"/>
    <x v="383"/>
    <x v="1"/>
    <x v="1"/>
    <s v="-31,4129883640337, -64,1681120522587"/>
    <d v="1980-12-06T00:00:00"/>
    <n v="38"/>
    <x v="6"/>
    <x v="0"/>
    <s v="🚺"/>
    <x v="4"/>
    <d v="2013-06-27T00:00:00"/>
    <n v="6"/>
    <x v="5"/>
    <x v="0"/>
    <s v="🚹"/>
    <n v="2"/>
    <x v="1"/>
    <x v="0"/>
    <s v="No aplica"/>
    <s v="Ropa de marca"/>
    <x v="1"/>
    <x v="1"/>
    <s v="En investigación"/>
    <s v="No aplica"/>
  </r>
  <r>
    <n v="460"/>
    <x v="417"/>
    <x v="417"/>
    <x v="417"/>
    <x v="6"/>
    <x v="384"/>
    <x v="4"/>
    <x v="0"/>
    <s v="-31,4800162965848, -64,2094200976892"/>
    <d v="1959-01-17T00:00:00"/>
    <n v="62"/>
    <x v="5"/>
    <x v="0"/>
    <s v="🚺"/>
    <x v="3"/>
    <d v="2013-02-06T00:00:00"/>
    <n v="8"/>
    <x v="5"/>
    <x v="0"/>
    <s v="🚹"/>
    <n v="2"/>
    <x v="0"/>
    <x v="0"/>
    <s v="No aplica"/>
    <s v="Vidrios de comercio rotos"/>
    <x v="0"/>
    <x v="0"/>
    <s v="Cerrado"/>
    <s v="65"/>
  </r>
  <r>
    <n v="836"/>
    <x v="418"/>
    <x v="418"/>
    <x v="418"/>
    <x v="3"/>
    <x v="385"/>
    <x v="2"/>
    <x v="0"/>
    <s v="-31,4800162965848, -64,2094200976892"/>
    <d v="1989-11-28T00:00:00"/>
    <n v="29"/>
    <x v="3"/>
    <x v="0"/>
    <s v="🚺"/>
    <x v="0"/>
    <d v="2005-07-03T00:00:00"/>
    <n v="14"/>
    <x v="5"/>
    <x v="1"/>
    <s v="🚺"/>
    <n v="1"/>
    <x v="1"/>
    <x v="0"/>
    <s v="Alevosía"/>
    <s v="No aplica"/>
    <x v="0"/>
    <x v="0"/>
    <s v="Abierto"/>
    <s v="No aplica"/>
  </r>
  <r>
    <n v="461"/>
    <x v="419"/>
    <x v="419"/>
    <x v="419"/>
    <x v="6"/>
    <x v="386"/>
    <x v="5"/>
    <x v="0"/>
    <s v="-31,4800162965848, -64,2094200976892"/>
    <d v="1974-10-12T00:00:00"/>
    <n v="42"/>
    <x v="6"/>
    <x v="0"/>
    <s v="🚺"/>
    <x v="1"/>
    <d v="2002-03-13T00:00:00"/>
    <n v="14"/>
    <x v="5"/>
    <x v="1"/>
    <s v="🚺"/>
    <n v="2"/>
    <x v="0"/>
    <x v="0"/>
    <s v="No aplica"/>
    <s v="Vidrios de comercio rotos"/>
    <x v="0"/>
    <x v="1"/>
    <s v="Cerrado"/>
    <s v="60"/>
  </r>
  <r>
    <n v="639"/>
    <x v="420"/>
    <x v="420"/>
    <x v="420"/>
    <x v="6"/>
    <x v="176"/>
    <x v="3"/>
    <x v="9"/>
    <s v="-31,4076397196409, -64,2020170430678"/>
    <d v="1986-12-11T00:00:00"/>
    <n v="32"/>
    <x v="3"/>
    <x v="1"/>
    <s v="🚹"/>
    <x v="2"/>
    <d v="1968-11-14T00:00:00"/>
    <n v="50"/>
    <x v="4"/>
    <x v="0"/>
    <s v="🚹"/>
    <n v="1"/>
    <x v="1"/>
    <x v="2"/>
    <s v="No aplica"/>
    <s v="Billetera con $15,000 ARG"/>
    <x v="0"/>
    <x v="0"/>
    <s v="Abierto"/>
    <s v="No aplica"/>
  </r>
  <r>
    <n v="88"/>
    <x v="421"/>
    <x v="421"/>
    <x v="421"/>
    <x v="6"/>
    <x v="387"/>
    <x v="10"/>
    <x v="7"/>
    <s v="-31,4015892433235, -64,160442876477"/>
    <d v="1978-04-13T00:00:00"/>
    <n v="41"/>
    <x v="6"/>
    <x v="0"/>
    <s v="🚺"/>
    <x v="1"/>
    <d v="1990-09-17T00:00:00"/>
    <n v="29"/>
    <x v="6"/>
    <x v="1"/>
    <s v="🚺"/>
    <n v="3"/>
    <x v="1"/>
    <x v="1"/>
    <s v="No aplica"/>
    <s v="Billetera con $15,000 ARG"/>
    <x v="1"/>
    <x v="0"/>
    <s v="Cerrado"/>
    <s v="No aplica"/>
  </r>
  <r>
    <n v="463"/>
    <x v="422"/>
    <x v="422"/>
    <x v="422"/>
    <x v="3"/>
    <x v="163"/>
    <x v="1"/>
    <x v="9"/>
    <s v="-31,4076397196409, -64,2020170430678"/>
    <d v="1982-10-18T00:00:00"/>
    <n v="36"/>
    <x v="6"/>
    <x v="0"/>
    <s v="🚺"/>
    <x v="4"/>
    <d v="2011-07-21T00:00:00"/>
    <n v="7"/>
    <x v="5"/>
    <x v="1"/>
    <s v="🚺"/>
    <n v="1"/>
    <x v="0"/>
    <x v="0"/>
    <s v="No aplica"/>
    <s v="Vidrios de comercio rotos"/>
    <x v="0"/>
    <x v="0"/>
    <s v="Cerrado"/>
    <s v="110"/>
  </r>
  <r>
    <n v="318"/>
    <x v="423"/>
    <x v="423"/>
    <x v="423"/>
    <x v="3"/>
    <x v="388"/>
    <x v="3"/>
    <x v="6"/>
    <s v="-31,3909520937826, -64,1836424491715"/>
    <d v="1972-07-11T00:00:00"/>
    <n v="47"/>
    <x v="0"/>
    <x v="1"/>
    <s v="🚹"/>
    <x v="3"/>
    <d v="1975-02-12T00:00:00"/>
    <n v="44"/>
    <x v="1"/>
    <x v="1"/>
    <s v="🚺"/>
    <n v="2"/>
    <x v="1"/>
    <x v="1"/>
    <s v="No aplica"/>
    <s v="Billetera con $15,000 ARG"/>
    <x v="1"/>
    <x v="1"/>
    <s v="Cerrado"/>
    <s v="No aplica"/>
  </r>
  <r>
    <n v="466"/>
    <x v="424"/>
    <x v="424"/>
    <x v="424"/>
    <x v="6"/>
    <x v="245"/>
    <x v="7"/>
    <x v="3"/>
    <s v="-31,4148488101991, -64,1793406489438"/>
    <d v="1973-05-28T00:00:00"/>
    <n v="45"/>
    <x v="6"/>
    <x v="1"/>
    <s v="🚹"/>
    <x v="3"/>
    <d v="1947-01-16T00:00:00"/>
    <n v="71"/>
    <x v="0"/>
    <x v="0"/>
    <s v="🚹"/>
    <n v="3"/>
    <x v="0"/>
    <x v="1"/>
    <s v="Alevosía"/>
    <s v="No aplica"/>
    <x v="1"/>
    <x v="0"/>
    <s v="Abierto"/>
    <s v="109"/>
  </r>
  <r>
    <n v="487"/>
    <x v="425"/>
    <x v="425"/>
    <x v="425"/>
    <x v="6"/>
    <x v="389"/>
    <x v="5"/>
    <x v="11"/>
    <s v="-31,4506257494184, -64,1733054344705"/>
    <d v="2002-10-06T00:00:00"/>
    <n v="17"/>
    <x v="2"/>
    <x v="0"/>
    <s v="🚺"/>
    <x v="0"/>
    <d v="2009-07-16T00:00:00"/>
    <n v="10"/>
    <x v="5"/>
    <x v="0"/>
    <s v="🚹"/>
    <n v="3"/>
    <x v="1"/>
    <x v="0"/>
    <s v="No aplica"/>
    <s v="Evasión fiscal"/>
    <x v="1"/>
    <x v="1"/>
    <s v="Abierto"/>
    <s v="No aplica"/>
  </r>
  <r>
    <n v="467"/>
    <x v="426"/>
    <x v="426"/>
    <x v="426"/>
    <x v="0"/>
    <x v="390"/>
    <x v="10"/>
    <x v="2"/>
    <s v="-31,334500143441, -64,2460773260564"/>
    <d v="2001-02-16T00:00:00"/>
    <n v="19"/>
    <x v="1"/>
    <x v="1"/>
    <s v="🚹"/>
    <x v="2"/>
    <d v="1942-04-11T00:00:00"/>
    <n v="78"/>
    <x v="0"/>
    <x v="1"/>
    <s v="🚺"/>
    <n v="1"/>
    <x v="0"/>
    <x v="0"/>
    <s v="No aplica"/>
    <s v="Lavado de dinero"/>
    <x v="0"/>
    <x v="0"/>
    <s v="En investigación"/>
    <s v="184"/>
  </r>
  <r>
    <n v="53"/>
    <x v="427"/>
    <x v="427"/>
    <x v="427"/>
    <x v="5"/>
    <x v="391"/>
    <x v="9"/>
    <x v="8"/>
    <s v="-31,423018915313, -64,1493562190664"/>
    <d v="2001-10-04T00:00:00"/>
    <n v="18"/>
    <x v="1"/>
    <x v="1"/>
    <s v="🚹"/>
    <x v="3"/>
    <d v="1992-10-14T00:00:00"/>
    <n v="27"/>
    <x v="6"/>
    <x v="0"/>
    <s v="🚹"/>
    <n v="1"/>
    <x v="1"/>
    <x v="2"/>
    <s v="No aplica"/>
    <s v="Billetera con $15,000 ARG"/>
    <x v="1"/>
    <x v="0"/>
    <s v="Cerrado"/>
    <s v="No aplica"/>
  </r>
  <r>
    <n v="470"/>
    <x v="428"/>
    <x v="428"/>
    <x v="428"/>
    <x v="3"/>
    <x v="201"/>
    <x v="10"/>
    <x v="8"/>
    <s v="-31,423018915313, -64,1493562190664"/>
    <d v="2001-10-19T00:00:00"/>
    <n v="14"/>
    <x v="2"/>
    <x v="1"/>
    <s v="🚹"/>
    <x v="2"/>
    <d v="1960-07-05T00:00:00"/>
    <n v="55"/>
    <x v="4"/>
    <x v="1"/>
    <s v="🚺"/>
    <n v="1"/>
    <x v="0"/>
    <x v="0"/>
    <s v="No aplica"/>
    <s v="Evasión fiscal"/>
    <x v="0"/>
    <x v="0"/>
    <s v="Cerrado"/>
    <s v="80"/>
  </r>
  <r>
    <n v="658"/>
    <x v="429"/>
    <x v="429"/>
    <x v="429"/>
    <x v="1"/>
    <x v="392"/>
    <x v="9"/>
    <x v="10"/>
    <s v="-31,4285567311661, -64,1853198281007"/>
    <d v="2002-04-18T00:00:00"/>
    <n v="17"/>
    <x v="2"/>
    <x v="0"/>
    <s v="🚺"/>
    <x v="4"/>
    <d v="1976-04-27T00:00:00"/>
    <n v="43"/>
    <x v="1"/>
    <x v="1"/>
    <s v="🚺"/>
    <n v="3"/>
    <x v="1"/>
    <x v="0"/>
    <s v="No aplica"/>
    <s v="Contrato fraudulento"/>
    <x v="1"/>
    <x v="1"/>
    <s v="Cerrado"/>
    <s v="No aplica"/>
  </r>
  <r>
    <n v="473"/>
    <x v="430"/>
    <x v="430"/>
    <x v="430"/>
    <x v="5"/>
    <x v="337"/>
    <x v="2"/>
    <x v="1"/>
    <s v="-31,4129883640337, -64,1681120522587"/>
    <d v="1990-08-05T00:00:00"/>
    <n v="25"/>
    <x v="1"/>
    <x v="1"/>
    <s v="🚹"/>
    <x v="1"/>
    <d v="1941-10-09T00:00:00"/>
    <n v="74"/>
    <x v="0"/>
    <x v="0"/>
    <s v="🚹"/>
    <n v="1"/>
    <x v="0"/>
    <x v="0"/>
    <s v="No aplica"/>
    <s v="No aplica"/>
    <x v="1"/>
    <x v="1"/>
    <s v="En investigación"/>
    <s v="19"/>
  </r>
  <r>
    <n v="139"/>
    <x v="431"/>
    <x v="431"/>
    <x v="431"/>
    <x v="0"/>
    <x v="393"/>
    <x v="11"/>
    <x v="9"/>
    <s v="-31,4076397196409, -64,2020170430678"/>
    <d v="1951-12-09T00:00:00"/>
    <n v="67"/>
    <x v="4"/>
    <x v="0"/>
    <s v="🚺"/>
    <x v="2"/>
    <d v="2008-08-26T00:00:00"/>
    <n v="11"/>
    <x v="5"/>
    <x v="1"/>
    <s v="🚺"/>
    <n v="3"/>
    <x v="1"/>
    <x v="4"/>
    <s v="Alevosía"/>
    <s v="No aplica"/>
    <x v="1"/>
    <x v="0"/>
    <s v="En investigación"/>
    <s v="No aplica"/>
  </r>
  <r>
    <n v="474"/>
    <x v="432"/>
    <x v="432"/>
    <x v="432"/>
    <x v="6"/>
    <x v="394"/>
    <x v="4"/>
    <x v="8"/>
    <s v="-31,423018915313, -64,1493562190664"/>
    <d v="1984-07-14T00:00:00"/>
    <n v="32"/>
    <x v="3"/>
    <x v="0"/>
    <s v="🚺"/>
    <x v="0"/>
    <d v="1987-09-20T00:00:00"/>
    <n v="29"/>
    <x v="6"/>
    <x v="0"/>
    <s v="🚹"/>
    <n v="1"/>
    <x v="0"/>
    <x v="0"/>
    <s v="No aplica"/>
    <s v="Lavado de dinero"/>
    <x v="1"/>
    <x v="1"/>
    <s v="En investigación"/>
    <s v="201"/>
  </r>
  <r>
    <n v="642"/>
    <x v="433"/>
    <x v="433"/>
    <x v="433"/>
    <x v="0"/>
    <x v="395"/>
    <x v="7"/>
    <x v="7"/>
    <s v="-31,4015892433235, -64,160442876477"/>
    <d v="1999-03-14T00:00:00"/>
    <n v="20"/>
    <x v="1"/>
    <x v="1"/>
    <s v="🚹"/>
    <x v="3"/>
    <d v="1944-05-15T00:00:00"/>
    <n v="75"/>
    <x v="0"/>
    <x v="1"/>
    <s v="🚺"/>
    <n v="1"/>
    <x v="1"/>
    <x v="0"/>
    <s v="Alevosía"/>
    <s v="No aplica"/>
    <x v="1"/>
    <x v="0"/>
    <s v="Abierto"/>
    <s v="No aplica"/>
  </r>
  <r>
    <n v="475"/>
    <x v="434"/>
    <x v="434"/>
    <x v="434"/>
    <x v="6"/>
    <x v="23"/>
    <x v="1"/>
    <x v="9"/>
    <s v="-31,4076397196409, -64,2020170430678"/>
    <d v="1979-12-06T00:00:00"/>
    <n v="41"/>
    <x v="6"/>
    <x v="1"/>
    <s v="🚹"/>
    <x v="3"/>
    <d v="2008-03-17T00:00:00"/>
    <n v="13"/>
    <x v="5"/>
    <x v="0"/>
    <s v="🚹"/>
    <n v="1"/>
    <x v="0"/>
    <x v="0"/>
    <s v="No aplica"/>
    <s v="5kg de cocaína"/>
    <x v="1"/>
    <x v="0"/>
    <s v="Abierto"/>
    <s v="29"/>
  </r>
  <r>
    <n v="822"/>
    <x v="435"/>
    <x v="435"/>
    <x v="435"/>
    <x v="5"/>
    <x v="396"/>
    <x v="10"/>
    <x v="7"/>
    <s v="-31,4015892433235, -64,160442876477"/>
    <d v="1975-01-24T00:00:00"/>
    <n v="44"/>
    <x v="6"/>
    <x v="1"/>
    <s v="🚹"/>
    <x v="4"/>
    <d v="1988-04-20T00:00:00"/>
    <n v="31"/>
    <x v="6"/>
    <x v="1"/>
    <s v="🚺"/>
    <n v="3"/>
    <x v="1"/>
    <x v="4"/>
    <s v="Alevosía"/>
    <s v="No aplica"/>
    <x v="1"/>
    <x v="1"/>
    <s v="En investigación"/>
    <s v="No aplica"/>
  </r>
  <r>
    <n v="385"/>
    <x v="436"/>
    <x v="436"/>
    <x v="436"/>
    <x v="1"/>
    <x v="397"/>
    <x v="11"/>
    <x v="6"/>
    <s v="-31,3909520937826, -64,1836424491715"/>
    <d v="1970-04-02T00:00:00"/>
    <n v="49"/>
    <x v="0"/>
    <x v="1"/>
    <s v="🚹"/>
    <x v="4"/>
    <d v="1953-04-12T00:00:00"/>
    <n v="66"/>
    <x v="0"/>
    <x v="0"/>
    <s v="🚹"/>
    <n v="3"/>
    <x v="1"/>
    <x v="4"/>
    <s v="No aplica"/>
    <s v="Billetera con $15,000 ARG"/>
    <x v="1"/>
    <x v="0"/>
    <s v="Cerrado"/>
    <s v="No aplica"/>
  </r>
  <r>
    <n v="477"/>
    <x v="437"/>
    <x v="437"/>
    <x v="437"/>
    <x v="3"/>
    <x v="175"/>
    <x v="3"/>
    <x v="6"/>
    <s v="-31,3909520937826, -64,1836424491715"/>
    <d v="1952-12-06T00:00:00"/>
    <n v="66"/>
    <x v="4"/>
    <x v="1"/>
    <s v="🚹"/>
    <x v="4"/>
    <d v="1988-05-27T00:00:00"/>
    <n v="30"/>
    <x v="6"/>
    <x v="0"/>
    <s v="🚹"/>
    <n v="3"/>
    <x v="0"/>
    <x v="0"/>
    <s v="No aplica"/>
    <s v="Celular"/>
    <x v="0"/>
    <x v="1"/>
    <s v="Cerrado"/>
    <s v="44"/>
  </r>
  <r>
    <n v="517"/>
    <x v="438"/>
    <x v="438"/>
    <x v="438"/>
    <x v="0"/>
    <x v="387"/>
    <x v="6"/>
    <x v="8"/>
    <s v="-31,423018915313, -64,1493562190664"/>
    <d v="1963-10-03T00:00:00"/>
    <n v="56"/>
    <x v="5"/>
    <x v="0"/>
    <s v="🚺"/>
    <x v="3"/>
    <d v="1997-09-10T00:00:00"/>
    <n v="22"/>
    <x v="3"/>
    <x v="0"/>
    <s v="🚹"/>
    <n v="2"/>
    <x v="1"/>
    <x v="0"/>
    <s v="No aplica"/>
    <s v="5kg de cocaína"/>
    <x v="1"/>
    <x v="1"/>
    <s v="En investigación"/>
    <s v="No aplica"/>
  </r>
  <r>
    <n v="479"/>
    <x v="439"/>
    <x v="439"/>
    <x v="439"/>
    <x v="3"/>
    <x v="297"/>
    <x v="5"/>
    <x v="6"/>
    <s v="-31,3909520937826, -64,1836424491715"/>
    <d v="2001-05-26T00:00:00"/>
    <n v="14"/>
    <x v="2"/>
    <x v="1"/>
    <s v="🚹"/>
    <x v="1"/>
    <d v="1991-01-27T00:00:00"/>
    <n v="25"/>
    <x v="3"/>
    <x v="0"/>
    <s v="🚹"/>
    <n v="3"/>
    <x v="0"/>
    <x v="0"/>
    <s v="No aplica"/>
    <s v="Grafitis en edificios públicos"/>
    <x v="1"/>
    <x v="0"/>
    <s v="En investigación"/>
    <s v="277"/>
  </r>
  <r>
    <n v="770"/>
    <x v="440"/>
    <x v="440"/>
    <x v="440"/>
    <x v="5"/>
    <x v="398"/>
    <x v="2"/>
    <x v="2"/>
    <s v="-31,334500143441, -64,2460773260564"/>
    <d v="1996-08-10T00:00:00"/>
    <n v="23"/>
    <x v="1"/>
    <x v="0"/>
    <s v="🚺"/>
    <x v="2"/>
    <d v="2015-11-09T00:00:00"/>
    <n v="4"/>
    <x v="5"/>
    <x v="1"/>
    <s v="🚺"/>
    <n v="1"/>
    <x v="1"/>
    <x v="0"/>
    <s v="Alevosía"/>
    <s v="No aplica"/>
    <x v="1"/>
    <x v="0"/>
    <s v="Abierto"/>
    <s v="No aplica"/>
  </r>
  <r>
    <n v="478"/>
    <x v="441"/>
    <x v="441"/>
    <x v="441"/>
    <x v="4"/>
    <x v="399"/>
    <x v="0"/>
    <x v="11"/>
    <s v="-31,4506257494184, -64,1733054344705"/>
    <d v="1982-10-25T00:00:00"/>
    <n v="37"/>
    <x v="6"/>
    <x v="0"/>
    <s v="🚺"/>
    <x v="3"/>
    <d v="1945-03-16T00:00:00"/>
    <n v="74"/>
    <x v="0"/>
    <x v="1"/>
    <s v="🚺"/>
    <n v="1"/>
    <x v="1"/>
    <x v="0"/>
    <s v="No aplica"/>
    <s v="Pasta base"/>
    <x v="1"/>
    <x v="1"/>
    <s v="Cerrado"/>
    <s v="No aplica"/>
  </r>
  <r>
    <n v="407"/>
    <x v="442"/>
    <x v="442"/>
    <x v="442"/>
    <x v="5"/>
    <x v="400"/>
    <x v="1"/>
    <x v="10"/>
    <s v="-31,4285567311661, -64,1853198281007"/>
    <d v="1982-01-21T00:00:00"/>
    <n v="37"/>
    <x v="6"/>
    <x v="0"/>
    <s v="🚺"/>
    <x v="0"/>
    <d v="1950-12-01T00:00:00"/>
    <n v="69"/>
    <x v="0"/>
    <x v="0"/>
    <s v="🚹"/>
    <n v="3"/>
    <x v="1"/>
    <x v="2"/>
    <s v="Sin agravantes"/>
    <s v="No aplica"/>
    <x v="0"/>
    <x v="0"/>
    <s v="Cerrado"/>
    <s v="No aplica"/>
  </r>
  <r>
    <n v="610"/>
    <x v="443"/>
    <x v="443"/>
    <x v="443"/>
    <x v="0"/>
    <x v="401"/>
    <x v="0"/>
    <x v="7"/>
    <s v="-31,4015892433235, -64,160442876477"/>
    <d v="1994-12-25T00:00:00"/>
    <n v="24"/>
    <x v="1"/>
    <x v="0"/>
    <s v="🚺"/>
    <x v="3"/>
    <d v="1979-08-14T00:00:00"/>
    <n v="40"/>
    <x v="1"/>
    <x v="1"/>
    <s v="🚺"/>
    <n v="3"/>
    <x v="1"/>
    <x v="0"/>
    <s v="No aplica"/>
    <s v="Estafa bancaria"/>
    <x v="1"/>
    <x v="0"/>
    <s v="Abierto"/>
    <s v="No aplica"/>
  </r>
  <r>
    <n v="146"/>
    <x v="444"/>
    <x v="444"/>
    <x v="444"/>
    <x v="3"/>
    <x v="402"/>
    <x v="8"/>
    <x v="1"/>
    <s v="-31,4129883640337, -64,1681120522587"/>
    <d v="1950-04-07T00:00:00"/>
    <n v="69"/>
    <x v="4"/>
    <x v="0"/>
    <s v="🚺"/>
    <x v="1"/>
    <d v="1984-01-24T00:00:00"/>
    <n v="35"/>
    <x v="6"/>
    <x v="1"/>
    <s v="🚺"/>
    <n v="2"/>
    <x v="1"/>
    <x v="0"/>
    <s v="No aplica"/>
    <s v="Dinero público desviado"/>
    <x v="0"/>
    <x v="0"/>
    <s v="Cerrado"/>
    <s v="No aplica"/>
  </r>
  <r>
    <n v="480"/>
    <x v="445"/>
    <x v="445"/>
    <x v="445"/>
    <x v="4"/>
    <x v="403"/>
    <x v="2"/>
    <x v="7"/>
    <s v="-31,4015892433235, -64,160442876477"/>
    <d v="1985-07-20T00:00:00"/>
    <n v="38"/>
    <x v="6"/>
    <x v="0"/>
    <s v="🚺"/>
    <x v="1"/>
    <d v="1987-08-26T00:00:00"/>
    <n v="36"/>
    <x v="1"/>
    <x v="0"/>
    <s v="🚹"/>
    <n v="2"/>
    <x v="0"/>
    <x v="0"/>
    <s v="No aplica"/>
    <s v="Estafa bancaria"/>
    <x v="0"/>
    <x v="0"/>
    <s v="Cerrado"/>
    <s v="47"/>
  </r>
  <r>
    <n v="481"/>
    <x v="303"/>
    <x v="303"/>
    <x v="303"/>
    <x v="6"/>
    <x v="404"/>
    <x v="0"/>
    <x v="9"/>
    <s v="-31,4076397196409, -64,2020170430678"/>
    <d v="2000-01-15T00:00:00"/>
    <n v="18"/>
    <x v="1"/>
    <x v="0"/>
    <s v="🚺"/>
    <x v="1"/>
    <d v="1946-07-18T00:00:00"/>
    <n v="72"/>
    <x v="0"/>
    <x v="0"/>
    <s v="🚹"/>
    <n v="1"/>
    <x v="0"/>
    <x v="0"/>
    <s v="No aplica"/>
    <s v="Evasión fiscal"/>
    <x v="1"/>
    <x v="0"/>
    <s v="Abierto"/>
    <s v="9"/>
  </r>
  <r>
    <n v="483"/>
    <x v="446"/>
    <x v="446"/>
    <x v="446"/>
    <x v="4"/>
    <x v="106"/>
    <x v="11"/>
    <x v="8"/>
    <s v="-31,423018915313, -64,1493562190664"/>
    <d v="1975-08-18T00:00:00"/>
    <n v="41"/>
    <x v="6"/>
    <x v="0"/>
    <s v="🚺"/>
    <x v="2"/>
    <d v="1998-02-17T00:00:00"/>
    <n v="19"/>
    <x v="3"/>
    <x v="0"/>
    <s v="🚹"/>
    <n v="1"/>
    <x v="0"/>
    <x v="0"/>
    <s v="No aplica"/>
    <s v="Vidrios de comercio rotos"/>
    <x v="1"/>
    <x v="0"/>
    <s v="Abierto"/>
    <s v="266"/>
  </r>
  <r>
    <n v="776"/>
    <x v="447"/>
    <x v="447"/>
    <x v="447"/>
    <x v="0"/>
    <x v="159"/>
    <x v="4"/>
    <x v="2"/>
    <s v="-31,334500143441, -64,2460773260564"/>
    <d v="1958-12-10T00:00:00"/>
    <n v="61"/>
    <x v="5"/>
    <x v="0"/>
    <s v="🚺"/>
    <x v="1"/>
    <d v="1980-05-11T00:00:00"/>
    <n v="39"/>
    <x v="1"/>
    <x v="0"/>
    <s v="🚹"/>
    <n v="1"/>
    <x v="1"/>
    <x v="0"/>
    <s v="No aplica"/>
    <s v="Bicicleta"/>
    <x v="1"/>
    <x v="0"/>
    <s v="En investigación"/>
    <s v="No aplica"/>
  </r>
  <r>
    <n v="484"/>
    <x v="448"/>
    <x v="448"/>
    <x v="448"/>
    <x v="1"/>
    <x v="405"/>
    <x v="1"/>
    <x v="11"/>
    <s v="-31,4506257494184, -64,1733054344705"/>
    <d v="1962-09-10T00:00:00"/>
    <n v="55"/>
    <x v="0"/>
    <x v="0"/>
    <s v="🚺"/>
    <x v="4"/>
    <d v="2012-02-10T00:00:00"/>
    <n v="5"/>
    <x v="5"/>
    <x v="0"/>
    <s v="🚹"/>
    <n v="1"/>
    <x v="0"/>
    <x v="0"/>
    <s v="No aplica"/>
    <s v="Contrato fraudulento"/>
    <x v="1"/>
    <x v="1"/>
    <s v="En investigación"/>
    <s v="105"/>
  </r>
  <r>
    <n v="96"/>
    <x v="449"/>
    <x v="449"/>
    <x v="449"/>
    <x v="5"/>
    <x v="130"/>
    <x v="9"/>
    <x v="8"/>
    <s v="-31,423018915313, -64,1493562190664"/>
    <d v="1982-08-18T00:00:00"/>
    <n v="37"/>
    <x v="6"/>
    <x v="1"/>
    <s v="🚹"/>
    <x v="3"/>
    <d v="2000-12-27T00:00:00"/>
    <n v="19"/>
    <x v="3"/>
    <x v="1"/>
    <s v="🚺"/>
    <n v="2"/>
    <x v="1"/>
    <x v="2"/>
    <s v="Sin agravantes"/>
    <s v="No aplica"/>
    <x v="1"/>
    <x v="1"/>
    <s v="Cerrado"/>
    <s v="No aplica"/>
  </r>
  <r>
    <n v="324"/>
    <x v="450"/>
    <x v="450"/>
    <x v="450"/>
    <x v="4"/>
    <x v="406"/>
    <x v="6"/>
    <x v="2"/>
    <s v="-31,334500143441, -64,2460773260564"/>
    <d v="1954-08-19T00:00:00"/>
    <n v="65"/>
    <x v="4"/>
    <x v="0"/>
    <s v="🚺"/>
    <x v="1"/>
    <d v="1944-12-07T00:00:00"/>
    <n v="75"/>
    <x v="0"/>
    <x v="0"/>
    <s v="🚹"/>
    <n v="1"/>
    <x v="1"/>
    <x v="0"/>
    <s v="No aplica"/>
    <s v="Estafa bancaria"/>
    <x v="1"/>
    <x v="0"/>
    <s v="Abierto"/>
    <s v="No aplica"/>
  </r>
  <r>
    <n v="485"/>
    <x v="451"/>
    <x v="451"/>
    <x v="451"/>
    <x v="6"/>
    <x v="407"/>
    <x v="9"/>
    <x v="4"/>
    <s v="-31,3759272890294, -64,2284587792478"/>
    <d v="1967-12-20T00:00:00"/>
    <n v="50"/>
    <x v="0"/>
    <x v="1"/>
    <s v="🚹"/>
    <x v="0"/>
    <d v="2003-09-28T00:00:00"/>
    <n v="14"/>
    <x v="5"/>
    <x v="0"/>
    <s v="🚹"/>
    <n v="2"/>
    <x v="0"/>
    <x v="0"/>
    <s v="No aplica"/>
    <s v="Dinero público desviado"/>
    <x v="1"/>
    <x v="0"/>
    <s v="Cerrado"/>
    <s v="239"/>
  </r>
  <r>
    <n v="312"/>
    <x v="452"/>
    <x v="452"/>
    <x v="452"/>
    <x v="0"/>
    <x v="65"/>
    <x v="0"/>
    <x v="3"/>
    <s v="-31,4148488101991, -64,1793406489438"/>
    <d v="1951-04-15T00:00:00"/>
    <n v="68"/>
    <x v="4"/>
    <x v="0"/>
    <s v="🚺"/>
    <x v="1"/>
    <d v="2012-02-16T00:00:00"/>
    <n v="7"/>
    <x v="5"/>
    <x v="1"/>
    <s v="🚺"/>
    <n v="1"/>
    <x v="1"/>
    <x v="0"/>
    <s v="No aplica"/>
    <s v="Vidrios de comercio rotos"/>
    <x v="0"/>
    <x v="1"/>
    <s v="Cerrado"/>
    <s v="No aplica"/>
  </r>
  <r>
    <n v="488"/>
    <x v="60"/>
    <x v="60"/>
    <x v="60"/>
    <x v="1"/>
    <x v="408"/>
    <x v="9"/>
    <x v="3"/>
    <s v="-31,4148488101991, -64,1793406489438"/>
    <d v="1987-04-13T00:00:00"/>
    <n v="27"/>
    <x v="3"/>
    <x v="0"/>
    <s v="🚺"/>
    <x v="2"/>
    <d v="1944-08-22T00:00:00"/>
    <n v="70"/>
    <x v="0"/>
    <x v="1"/>
    <s v="🚺"/>
    <n v="2"/>
    <x v="0"/>
    <x v="0"/>
    <s v="Sin agravantes"/>
    <s v="No aplica"/>
    <x v="1"/>
    <x v="0"/>
    <s v="Cerrado"/>
    <s v="192"/>
  </r>
  <r>
    <n v="489"/>
    <x v="453"/>
    <x v="453"/>
    <x v="453"/>
    <x v="4"/>
    <x v="409"/>
    <x v="9"/>
    <x v="6"/>
    <s v="-31,3909520937826, -64,1836424491715"/>
    <d v="2004-09-22T00:00:00"/>
    <n v="12"/>
    <x v="2"/>
    <x v="0"/>
    <s v="🚺"/>
    <x v="2"/>
    <d v="2004-05-09T00:00:00"/>
    <n v="12"/>
    <x v="5"/>
    <x v="1"/>
    <s v="🚺"/>
    <n v="3"/>
    <x v="0"/>
    <x v="0"/>
    <s v="No aplica"/>
    <s v="No aplica"/>
    <x v="0"/>
    <x v="1"/>
    <s v="Cerrado"/>
    <s v="225"/>
  </r>
  <r>
    <n v="490"/>
    <x v="454"/>
    <x v="454"/>
    <x v="454"/>
    <x v="4"/>
    <x v="410"/>
    <x v="9"/>
    <x v="6"/>
    <s v="-31,3909520937826, -64,1836424491715"/>
    <d v="1993-05-23T00:00:00"/>
    <n v="27"/>
    <x v="3"/>
    <x v="1"/>
    <s v="🚹"/>
    <x v="2"/>
    <d v="2002-06-22T00:00:00"/>
    <n v="18"/>
    <x v="3"/>
    <x v="1"/>
    <s v="🚺"/>
    <n v="1"/>
    <x v="0"/>
    <x v="3"/>
    <s v="No aplica"/>
    <s v="Laptop marca HP"/>
    <x v="1"/>
    <x v="1"/>
    <s v="En investigación"/>
    <s v="18"/>
  </r>
  <r>
    <n v="687"/>
    <x v="128"/>
    <x v="128"/>
    <x v="128"/>
    <x v="6"/>
    <x v="411"/>
    <x v="9"/>
    <x v="7"/>
    <s v="-31,4015892433235, -64,160442876477"/>
    <d v="1981-01-19T00:00:00"/>
    <n v="39"/>
    <x v="6"/>
    <x v="1"/>
    <s v="🚹"/>
    <x v="4"/>
    <d v="2008-09-07T00:00:00"/>
    <n v="11"/>
    <x v="5"/>
    <x v="1"/>
    <s v="🚺"/>
    <n v="3"/>
    <x v="1"/>
    <x v="0"/>
    <s v="No aplica"/>
    <s v="Plantas de marihuana"/>
    <x v="1"/>
    <x v="1"/>
    <s v="Cerrado"/>
    <s v="No aplica"/>
  </r>
  <r>
    <n v="611"/>
    <x v="455"/>
    <x v="455"/>
    <x v="455"/>
    <x v="3"/>
    <x v="201"/>
    <x v="7"/>
    <x v="5"/>
    <s v="-31,3477902896523, -64,2644406169297"/>
    <d v="1950-12-01T00:00:00"/>
    <n v="69"/>
    <x v="4"/>
    <x v="1"/>
    <s v="🚹"/>
    <x v="1"/>
    <d v="1997-09-28T00:00:00"/>
    <n v="22"/>
    <x v="3"/>
    <x v="1"/>
    <s v="🚺"/>
    <n v="3"/>
    <x v="1"/>
    <x v="0"/>
    <s v="No aplica"/>
    <s v="No aplica"/>
    <x v="0"/>
    <x v="0"/>
    <s v="Abierto"/>
    <s v="No aplica"/>
  </r>
  <r>
    <n v="989"/>
    <x v="456"/>
    <x v="456"/>
    <x v="456"/>
    <x v="6"/>
    <x v="412"/>
    <x v="11"/>
    <x v="6"/>
    <s v="-31,3909520937826, -64,1836424491715"/>
    <d v="2001-06-19T00:00:00"/>
    <n v="18"/>
    <x v="1"/>
    <x v="1"/>
    <s v="🚹"/>
    <x v="1"/>
    <d v="1963-11-28T00:00:00"/>
    <n v="56"/>
    <x v="2"/>
    <x v="0"/>
    <s v="🚹"/>
    <n v="3"/>
    <x v="1"/>
    <x v="0"/>
    <s v="No aplica"/>
    <s v="Contrato fraudulento"/>
    <x v="0"/>
    <x v="0"/>
    <s v="En investigación"/>
    <s v="No aplica"/>
  </r>
  <r>
    <n v="491"/>
    <x v="457"/>
    <x v="457"/>
    <x v="457"/>
    <x v="2"/>
    <x v="306"/>
    <x v="3"/>
    <x v="8"/>
    <s v="-31,423018915313, -64,1493562190664"/>
    <d v="1956-01-01T00:00:00"/>
    <n v="60"/>
    <x v="5"/>
    <x v="0"/>
    <s v="🚺"/>
    <x v="2"/>
    <d v="1986-12-20T00:00:00"/>
    <n v="29"/>
    <x v="6"/>
    <x v="0"/>
    <s v="🚹"/>
    <n v="1"/>
    <x v="0"/>
    <x v="0"/>
    <s v="No aplica"/>
    <s v="Contrato fraudulento"/>
    <x v="1"/>
    <x v="0"/>
    <s v="Cerrado"/>
    <s v="281"/>
  </r>
  <r>
    <n v="569"/>
    <x v="458"/>
    <x v="458"/>
    <x v="458"/>
    <x v="5"/>
    <x v="413"/>
    <x v="8"/>
    <x v="7"/>
    <s v="-31,4015892433235, -64,160442876477"/>
    <d v="1977-10-28T00:00:00"/>
    <n v="42"/>
    <x v="6"/>
    <x v="1"/>
    <s v="🚹"/>
    <x v="1"/>
    <d v="1985-10-12T00:00:00"/>
    <n v="34"/>
    <x v="6"/>
    <x v="1"/>
    <s v="🚺"/>
    <n v="2"/>
    <x v="1"/>
    <x v="0"/>
    <s v="No aplica"/>
    <s v="Lavado de dinero"/>
    <x v="1"/>
    <x v="0"/>
    <s v="Cerrado"/>
    <s v="No aplica"/>
  </r>
  <r>
    <n v="886"/>
    <x v="459"/>
    <x v="459"/>
    <x v="459"/>
    <x v="3"/>
    <x v="160"/>
    <x v="10"/>
    <x v="1"/>
    <s v="-31,4129883640337, -64,1681120522587"/>
    <d v="1958-10-05T00:00:00"/>
    <n v="61"/>
    <x v="5"/>
    <x v="0"/>
    <s v="🚺"/>
    <x v="4"/>
    <d v="1964-05-20T00:00:00"/>
    <n v="55"/>
    <x v="4"/>
    <x v="1"/>
    <s v="🚺"/>
    <n v="2"/>
    <x v="1"/>
    <x v="0"/>
    <s v="No aplica"/>
    <s v="Estafa bancaria"/>
    <x v="0"/>
    <x v="0"/>
    <s v="Cerrado"/>
    <s v="No aplica"/>
  </r>
  <r>
    <n v="498"/>
    <x v="460"/>
    <x v="460"/>
    <x v="460"/>
    <x v="2"/>
    <x v="414"/>
    <x v="8"/>
    <x v="11"/>
    <s v="-31,4506257494184, -64,1733054344705"/>
    <d v="1981-03-28T00:00:00"/>
    <n v="43"/>
    <x v="6"/>
    <x v="1"/>
    <s v="🚹"/>
    <x v="0"/>
    <d v="1949-12-18T00:00:00"/>
    <n v="75"/>
    <x v="0"/>
    <x v="1"/>
    <s v="🚺"/>
    <n v="3"/>
    <x v="0"/>
    <x v="0"/>
    <s v="No aplica"/>
    <s v="Pasta base"/>
    <x v="1"/>
    <x v="1"/>
    <s v="En investigación"/>
    <s v="93"/>
  </r>
  <r>
    <n v="438"/>
    <x v="461"/>
    <x v="461"/>
    <x v="461"/>
    <x v="6"/>
    <x v="402"/>
    <x v="7"/>
    <x v="7"/>
    <s v="-31,4015892433235, -64,160442876477"/>
    <d v="1976-12-12T00:00:00"/>
    <n v="43"/>
    <x v="6"/>
    <x v="0"/>
    <s v="🚺"/>
    <x v="1"/>
    <d v="1973-03-01T00:00:00"/>
    <n v="47"/>
    <x v="4"/>
    <x v="0"/>
    <s v="🚹"/>
    <n v="2"/>
    <x v="1"/>
    <x v="0"/>
    <s v="No aplica"/>
    <s v="Lavado de dinero"/>
    <x v="1"/>
    <x v="0"/>
    <s v="Cerrado"/>
    <s v="No aplica"/>
  </r>
  <r>
    <n v="848"/>
    <x v="462"/>
    <x v="462"/>
    <x v="462"/>
    <x v="1"/>
    <x v="415"/>
    <x v="9"/>
    <x v="5"/>
    <s v="-31,3477902896523, -64,2644406169297"/>
    <d v="1952-09-03T00:00:00"/>
    <n v="67"/>
    <x v="4"/>
    <x v="1"/>
    <s v="🚹"/>
    <x v="1"/>
    <d v="1984-03-03T00:00:00"/>
    <n v="36"/>
    <x v="1"/>
    <x v="1"/>
    <s v="🚺"/>
    <n v="2"/>
    <x v="1"/>
    <x v="0"/>
    <s v="No aplica"/>
    <s v="Bicicleta"/>
    <x v="1"/>
    <x v="0"/>
    <s v="Cerrado"/>
    <s v="No aplica"/>
  </r>
  <r>
    <n v="499"/>
    <x v="463"/>
    <x v="463"/>
    <x v="463"/>
    <x v="6"/>
    <x v="416"/>
    <x v="3"/>
    <x v="7"/>
    <s v="-31,4015892433235, -64,160442876477"/>
    <d v="1962-04-28T00:00:00"/>
    <n v="62"/>
    <x v="5"/>
    <x v="1"/>
    <s v="🚹"/>
    <x v="1"/>
    <d v="1992-08-06T00:00:00"/>
    <n v="31"/>
    <x v="6"/>
    <x v="1"/>
    <s v="🚺"/>
    <n v="3"/>
    <x v="0"/>
    <x v="0"/>
    <s v="No aplica"/>
    <s v="No aplica"/>
    <x v="1"/>
    <x v="1"/>
    <s v="Cerrado"/>
    <s v="120"/>
  </r>
  <r>
    <n v="833"/>
    <x v="464"/>
    <x v="464"/>
    <x v="464"/>
    <x v="0"/>
    <x v="417"/>
    <x v="10"/>
    <x v="11"/>
    <s v="-31,4506257494184, -64,1733054344705"/>
    <d v="1966-12-09T00:00:00"/>
    <n v="53"/>
    <x v="0"/>
    <x v="0"/>
    <s v="🚺"/>
    <x v="2"/>
    <d v="2012-08-25T00:00:00"/>
    <n v="7"/>
    <x v="5"/>
    <x v="1"/>
    <s v="🚺"/>
    <n v="1"/>
    <x v="1"/>
    <x v="0"/>
    <s v="No aplica"/>
    <s v="Grafitis en edificios públicos"/>
    <x v="0"/>
    <x v="1"/>
    <s v="Cerrado"/>
    <s v="No aplica"/>
  </r>
  <r>
    <n v="501"/>
    <x v="465"/>
    <x v="465"/>
    <x v="465"/>
    <x v="1"/>
    <x v="277"/>
    <x v="3"/>
    <x v="6"/>
    <s v="-31,3909520937826, -64,1836424491715"/>
    <d v="1976-02-19T00:00:00"/>
    <n v="48"/>
    <x v="0"/>
    <x v="1"/>
    <s v="🚹"/>
    <x v="2"/>
    <d v="1970-06-08T00:00:00"/>
    <n v="54"/>
    <x v="4"/>
    <x v="0"/>
    <s v="🚹"/>
    <n v="3"/>
    <x v="0"/>
    <x v="0"/>
    <s v="No aplica"/>
    <s v="Plantas de marihuana"/>
    <x v="1"/>
    <x v="1"/>
    <s v="Cerrado"/>
    <s v="175"/>
  </r>
  <r>
    <n v="292"/>
    <x v="466"/>
    <x v="466"/>
    <x v="466"/>
    <x v="1"/>
    <x v="418"/>
    <x v="4"/>
    <x v="11"/>
    <s v="-31,4506257494184, -64,1733054344705"/>
    <d v="1982-05-13T00:00:00"/>
    <n v="37"/>
    <x v="6"/>
    <x v="0"/>
    <s v="🚺"/>
    <x v="0"/>
    <d v="1973-06-21T00:00:00"/>
    <n v="46"/>
    <x v="4"/>
    <x v="1"/>
    <s v="🚺"/>
    <n v="2"/>
    <x v="1"/>
    <x v="4"/>
    <s v="No aplica"/>
    <s v="Auto modelo XXX, patente XXX XXX"/>
    <x v="1"/>
    <x v="0"/>
    <s v="Cerrado"/>
    <s v="No aplica"/>
  </r>
  <r>
    <n v="503"/>
    <x v="467"/>
    <x v="467"/>
    <x v="467"/>
    <x v="3"/>
    <x v="419"/>
    <x v="9"/>
    <x v="8"/>
    <s v="-31,423018915313, -64,1493562190664"/>
    <d v="1966-05-01T00:00:00"/>
    <n v="54"/>
    <x v="0"/>
    <x v="0"/>
    <s v="🚺"/>
    <x v="4"/>
    <d v="1969-02-12T00:00:00"/>
    <n v="52"/>
    <x v="4"/>
    <x v="0"/>
    <s v="🚹"/>
    <n v="1"/>
    <x v="0"/>
    <x v="0"/>
    <s v="No aplica"/>
    <s v="Grafitis en edificios públicos"/>
    <x v="1"/>
    <x v="0"/>
    <s v="En investigación"/>
    <s v="273"/>
  </r>
  <r>
    <n v="152"/>
    <x v="468"/>
    <x v="468"/>
    <x v="468"/>
    <x v="5"/>
    <x v="420"/>
    <x v="5"/>
    <x v="5"/>
    <s v="-31,3477902896523, -64,2644406169297"/>
    <d v="1988-11-14T00:00:00"/>
    <n v="31"/>
    <x v="3"/>
    <x v="1"/>
    <s v="🚹"/>
    <x v="0"/>
    <d v="1989-10-09T00:00:00"/>
    <n v="30"/>
    <x v="6"/>
    <x v="1"/>
    <s v="🚺"/>
    <n v="1"/>
    <x v="1"/>
    <x v="0"/>
    <s v="No aplica"/>
    <s v="Estafa bancaria"/>
    <x v="1"/>
    <x v="1"/>
    <s v="Abierto"/>
    <s v="No aplica"/>
  </r>
  <r>
    <n v="32"/>
    <x v="469"/>
    <x v="469"/>
    <x v="469"/>
    <x v="2"/>
    <x v="204"/>
    <x v="2"/>
    <x v="11"/>
    <s v="-31,4506257494184, -64,1733054344705"/>
    <d v="1989-06-18T00:00:00"/>
    <n v="30"/>
    <x v="3"/>
    <x v="1"/>
    <s v="🚹"/>
    <x v="2"/>
    <d v="1991-06-22T00:00:00"/>
    <n v="28"/>
    <x v="6"/>
    <x v="1"/>
    <s v="🚺"/>
    <n v="1"/>
    <x v="1"/>
    <x v="0"/>
    <s v="Alevosía"/>
    <s v="No aplica"/>
    <x v="0"/>
    <x v="0"/>
    <s v="Cerrado"/>
    <s v="No aplica"/>
  </r>
  <r>
    <n v="371"/>
    <x v="470"/>
    <x v="470"/>
    <x v="470"/>
    <x v="6"/>
    <x v="421"/>
    <x v="2"/>
    <x v="3"/>
    <s v="-31,4148488101991, -64,1793406489438"/>
    <d v="1983-09-23T00:00:00"/>
    <n v="36"/>
    <x v="6"/>
    <x v="0"/>
    <s v="🚺"/>
    <x v="3"/>
    <d v="1971-10-02T00:00:00"/>
    <n v="48"/>
    <x v="4"/>
    <x v="0"/>
    <s v="🚹"/>
    <n v="2"/>
    <x v="1"/>
    <x v="0"/>
    <s v="No aplica"/>
    <s v="No aplica"/>
    <x v="0"/>
    <x v="1"/>
    <s v="En investigación"/>
    <s v="No aplica"/>
  </r>
  <r>
    <n v="603"/>
    <x v="471"/>
    <x v="471"/>
    <x v="471"/>
    <x v="1"/>
    <x v="263"/>
    <x v="0"/>
    <x v="7"/>
    <s v="-31,4015892433235, -64,160442876477"/>
    <d v="1972-12-13T00:00:00"/>
    <n v="47"/>
    <x v="0"/>
    <x v="0"/>
    <s v="🚺"/>
    <x v="2"/>
    <d v="1989-01-19T00:00:00"/>
    <n v="31"/>
    <x v="6"/>
    <x v="1"/>
    <s v="🚺"/>
    <n v="1"/>
    <x v="1"/>
    <x v="0"/>
    <s v="No aplica"/>
    <s v="No aplica"/>
    <x v="1"/>
    <x v="1"/>
    <s v="Cerrado"/>
    <s v="No aplica"/>
  </r>
  <r>
    <n v="506"/>
    <x v="472"/>
    <x v="472"/>
    <x v="472"/>
    <x v="3"/>
    <x v="422"/>
    <x v="10"/>
    <x v="2"/>
    <s v="-31,334500143441, -64,2460773260564"/>
    <d v="1991-06-16T00:00:00"/>
    <n v="33"/>
    <x v="3"/>
    <x v="1"/>
    <s v="🚹"/>
    <x v="3"/>
    <d v="2008-07-13T00:00:00"/>
    <n v="16"/>
    <x v="5"/>
    <x v="0"/>
    <s v="🚹"/>
    <n v="3"/>
    <x v="0"/>
    <x v="0"/>
    <s v="No aplica"/>
    <s v="Bicicleta"/>
    <x v="1"/>
    <x v="1"/>
    <s v="Abierto"/>
    <s v="251"/>
  </r>
  <r>
    <n v="571"/>
    <x v="296"/>
    <x v="296"/>
    <x v="296"/>
    <x v="3"/>
    <x v="423"/>
    <x v="8"/>
    <x v="11"/>
    <s v="-31,4506257494184, -64,1733054344705"/>
    <d v="2000-12-11T00:00:00"/>
    <n v="19"/>
    <x v="1"/>
    <x v="0"/>
    <s v="🚺"/>
    <x v="3"/>
    <d v="1971-05-23T00:00:00"/>
    <n v="48"/>
    <x v="4"/>
    <x v="1"/>
    <s v="🚺"/>
    <n v="1"/>
    <x v="1"/>
    <x v="0"/>
    <s v="No aplica"/>
    <s v="Vidrios de comercio rotos"/>
    <x v="0"/>
    <x v="1"/>
    <s v="Cerrado"/>
    <s v="No aplica"/>
  </r>
  <r>
    <n v="507"/>
    <x v="473"/>
    <x v="473"/>
    <x v="473"/>
    <x v="0"/>
    <x v="170"/>
    <x v="3"/>
    <x v="10"/>
    <s v="-31,4285567311661, -64,1853198281007"/>
    <d v="1967-02-15T00:00:00"/>
    <n v="51"/>
    <x v="0"/>
    <x v="1"/>
    <s v="🚹"/>
    <x v="1"/>
    <d v="2003-08-03T00:00:00"/>
    <n v="15"/>
    <x v="5"/>
    <x v="1"/>
    <s v="🚺"/>
    <n v="3"/>
    <x v="0"/>
    <x v="0"/>
    <s v="No aplica"/>
    <s v="Contrato fraudulento"/>
    <x v="1"/>
    <x v="0"/>
    <s v="Cerrado"/>
    <s v="28"/>
  </r>
  <r>
    <n v="508"/>
    <x v="474"/>
    <x v="474"/>
    <x v="474"/>
    <x v="0"/>
    <x v="424"/>
    <x v="2"/>
    <x v="3"/>
    <s v="-31,4148488101991, -64,1793406489438"/>
    <d v="1986-12-09T00:00:00"/>
    <n v="36"/>
    <x v="6"/>
    <x v="1"/>
    <s v="🚹"/>
    <x v="3"/>
    <d v="1960-08-17T00:00:00"/>
    <n v="62"/>
    <x v="2"/>
    <x v="1"/>
    <s v="🚺"/>
    <n v="3"/>
    <x v="0"/>
    <x v="1"/>
    <s v="Por vínculo"/>
    <s v="No aplica"/>
    <x v="0"/>
    <x v="1"/>
    <s v="Cerrado"/>
    <s v="238"/>
  </r>
  <r>
    <n v="511"/>
    <x v="475"/>
    <x v="475"/>
    <x v="475"/>
    <x v="3"/>
    <x v="377"/>
    <x v="1"/>
    <x v="11"/>
    <s v="-31,4506257494184, -64,1733054344705"/>
    <d v="2000-01-01T00:00:00"/>
    <n v="21"/>
    <x v="1"/>
    <x v="0"/>
    <s v="🚺"/>
    <x v="3"/>
    <d v="2003-06-02T00:00:00"/>
    <n v="17"/>
    <x v="5"/>
    <x v="1"/>
    <s v="🚺"/>
    <n v="1"/>
    <x v="0"/>
    <x v="0"/>
    <s v="No aplica"/>
    <s v="Dinero público desviado"/>
    <x v="1"/>
    <x v="0"/>
    <s v="Cerrado"/>
    <s v="141"/>
  </r>
  <r>
    <n v="616"/>
    <x v="192"/>
    <x v="192"/>
    <x v="192"/>
    <x v="5"/>
    <x v="425"/>
    <x v="8"/>
    <x v="0"/>
    <s v="-31,4800162965848, -64,2094200976892"/>
    <d v="1962-07-19T00:00:00"/>
    <n v="57"/>
    <x v="5"/>
    <x v="1"/>
    <s v="🚹"/>
    <x v="1"/>
    <d v="2003-05-15T00:00:00"/>
    <n v="16"/>
    <x v="5"/>
    <x v="0"/>
    <s v="🚹"/>
    <n v="1"/>
    <x v="1"/>
    <x v="0"/>
    <s v="No aplica"/>
    <s v="Evasión fiscal"/>
    <x v="1"/>
    <x v="0"/>
    <s v="Abierto"/>
    <s v="No aplica"/>
  </r>
  <r>
    <n v="910"/>
    <x v="476"/>
    <x v="476"/>
    <x v="476"/>
    <x v="1"/>
    <x v="248"/>
    <x v="8"/>
    <x v="9"/>
    <s v="-31,4076397196409, -64,2020170430678"/>
    <d v="2003-04-18T00:00:00"/>
    <n v="17"/>
    <x v="2"/>
    <x v="1"/>
    <s v="🚹"/>
    <x v="3"/>
    <d v="1943-01-06T00:00:00"/>
    <n v="77"/>
    <x v="0"/>
    <x v="0"/>
    <s v="🚹"/>
    <n v="2"/>
    <x v="1"/>
    <x v="0"/>
    <s v="No aplica"/>
    <s v="Lavado de dinero"/>
    <x v="1"/>
    <x v="0"/>
    <s v="Cerrado"/>
    <s v="No aplica"/>
  </r>
  <r>
    <n v="512"/>
    <x v="477"/>
    <x v="477"/>
    <x v="477"/>
    <x v="0"/>
    <x v="426"/>
    <x v="8"/>
    <x v="1"/>
    <s v="-31,4129883640337, -64,1681120522587"/>
    <d v="1981-04-02T00:00:00"/>
    <n v="41"/>
    <x v="6"/>
    <x v="1"/>
    <s v="🚹"/>
    <x v="4"/>
    <d v="1959-02-24T00:00:00"/>
    <n v="64"/>
    <x v="2"/>
    <x v="0"/>
    <s v="🚹"/>
    <n v="3"/>
    <x v="0"/>
    <x v="0"/>
    <s v="No aplica"/>
    <s v="Plantas de marihuana"/>
    <x v="1"/>
    <x v="0"/>
    <s v="En investigación"/>
    <s v="161"/>
  </r>
  <r>
    <n v="513"/>
    <x v="478"/>
    <x v="478"/>
    <x v="478"/>
    <x v="2"/>
    <x v="141"/>
    <x v="10"/>
    <x v="9"/>
    <s v="-31,4076397196409, -64,2020170430678"/>
    <d v="1957-04-13T00:00:00"/>
    <n v="64"/>
    <x v="5"/>
    <x v="1"/>
    <s v="🚹"/>
    <x v="0"/>
    <d v="1941-02-26T00:00:00"/>
    <n v="80"/>
    <x v="0"/>
    <x v="0"/>
    <s v="🚹"/>
    <n v="3"/>
    <x v="0"/>
    <x v="0"/>
    <s v="No aplica"/>
    <s v="Cartera con documentación"/>
    <x v="1"/>
    <x v="0"/>
    <s v="Cerrado"/>
    <s v="128"/>
  </r>
  <r>
    <n v="406"/>
    <x v="94"/>
    <x v="94"/>
    <x v="94"/>
    <x v="0"/>
    <x v="427"/>
    <x v="5"/>
    <x v="0"/>
    <s v="-31,4800162965848, -64,2094200976892"/>
    <d v="1985-04-05T00:00:00"/>
    <n v="35"/>
    <x v="3"/>
    <x v="1"/>
    <s v="🚹"/>
    <x v="2"/>
    <d v="1943-04-12T00:00:00"/>
    <n v="77"/>
    <x v="0"/>
    <x v="0"/>
    <s v="🚹"/>
    <n v="3"/>
    <x v="1"/>
    <x v="0"/>
    <s v="No aplica"/>
    <s v="Cuentas falsas"/>
    <x v="1"/>
    <x v="0"/>
    <s v="Abierto"/>
    <s v="No aplica"/>
  </r>
  <r>
    <n v="219"/>
    <x v="479"/>
    <x v="479"/>
    <x v="479"/>
    <x v="3"/>
    <x v="332"/>
    <x v="8"/>
    <x v="6"/>
    <s v="-31,3909520937826, -64,1836424491715"/>
    <d v="1990-07-23T00:00:00"/>
    <n v="29"/>
    <x v="3"/>
    <x v="0"/>
    <s v="🚺"/>
    <x v="4"/>
    <d v="1944-01-28T00:00:00"/>
    <n v="76"/>
    <x v="0"/>
    <x v="0"/>
    <s v="🚹"/>
    <n v="1"/>
    <x v="1"/>
    <x v="0"/>
    <s v="No aplica"/>
    <s v="Dinero público desviado"/>
    <x v="0"/>
    <x v="1"/>
    <s v="Abierto"/>
    <s v="No aplica"/>
  </r>
  <r>
    <n v="476"/>
    <x v="480"/>
    <x v="480"/>
    <x v="480"/>
    <x v="1"/>
    <x v="418"/>
    <x v="3"/>
    <x v="8"/>
    <s v="-31,423018915313, -64,1493562190664"/>
    <d v="1992-09-20T00:00:00"/>
    <n v="27"/>
    <x v="3"/>
    <x v="0"/>
    <s v="🚺"/>
    <x v="0"/>
    <d v="2011-01-06T00:00:00"/>
    <n v="9"/>
    <x v="5"/>
    <x v="0"/>
    <s v="🚹"/>
    <n v="3"/>
    <x v="1"/>
    <x v="1"/>
    <s v="No aplica"/>
    <s v="Laptop marca HP"/>
    <x v="1"/>
    <x v="1"/>
    <s v="Cerrado"/>
    <s v="No aplica"/>
  </r>
  <r>
    <n v="515"/>
    <x v="481"/>
    <x v="481"/>
    <x v="481"/>
    <x v="5"/>
    <x v="221"/>
    <x v="0"/>
    <x v="6"/>
    <s v="-31,3909520937826, -64,1836424491715"/>
    <d v="1984-08-17T00:00:00"/>
    <n v="34"/>
    <x v="3"/>
    <x v="0"/>
    <s v="🚺"/>
    <x v="2"/>
    <d v="2012-06-01T00:00:00"/>
    <n v="7"/>
    <x v="5"/>
    <x v="1"/>
    <s v="🚺"/>
    <n v="3"/>
    <x v="0"/>
    <x v="0"/>
    <s v="No aplica"/>
    <s v="Bicicleta"/>
    <x v="0"/>
    <x v="0"/>
    <s v="Abierto"/>
    <s v="108"/>
  </r>
  <r>
    <n v="516"/>
    <x v="482"/>
    <x v="482"/>
    <x v="482"/>
    <x v="6"/>
    <x v="41"/>
    <x v="8"/>
    <x v="3"/>
    <s v="-31,4148488101991, -64,1793406489438"/>
    <d v="1956-11-16T00:00:00"/>
    <n v="65"/>
    <x v="4"/>
    <x v="1"/>
    <s v="🚹"/>
    <x v="0"/>
    <d v="2001-06-15T00:00:00"/>
    <n v="20"/>
    <x v="3"/>
    <x v="0"/>
    <s v="🚹"/>
    <n v="2"/>
    <x v="0"/>
    <x v="4"/>
    <s v="Alevosía"/>
    <s v="No aplica"/>
    <x v="0"/>
    <x v="0"/>
    <s v="Cerrado"/>
    <s v="264"/>
  </r>
  <r>
    <n v="741"/>
    <x v="483"/>
    <x v="483"/>
    <x v="483"/>
    <x v="2"/>
    <x v="428"/>
    <x v="3"/>
    <x v="4"/>
    <s v="-31,3759272890294, -64,2284587792478"/>
    <d v="1977-06-20T00:00:00"/>
    <n v="42"/>
    <x v="6"/>
    <x v="1"/>
    <s v="🚹"/>
    <x v="2"/>
    <d v="1945-10-15T00:00:00"/>
    <n v="74"/>
    <x v="0"/>
    <x v="1"/>
    <s v="🚺"/>
    <n v="3"/>
    <x v="1"/>
    <x v="1"/>
    <s v="No aplica"/>
    <s v="Celular, tarjetas bancarias"/>
    <x v="1"/>
    <x v="1"/>
    <s v="Abierto"/>
    <s v="No aplica"/>
  </r>
  <r>
    <n v="518"/>
    <x v="484"/>
    <x v="484"/>
    <x v="484"/>
    <x v="6"/>
    <x v="429"/>
    <x v="10"/>
    <x v="6"/>
    <s v="-31,3909520937826, -64,1836424491715"/>
    <d v="1979-03-21T00:00:00"/>
    <n v="44"/>
    <x v="6"/>
    <x v="1"/>
    <s v="🚹"/>
    <x v="4"/>
    <d v="1980-05-13T00:00:00"/>
    <n v="43"/>
    <x v="1"/>
    <x v="1"/>
    <s v="🚺"/>
    <n v="1"/>
    <x v="0"/>
    <x v="2"/>
    <s v="Alevosía"/>
    <s v="No aplica"/>
    <x v="1"/>
    <x v="0"/>
    <s v="Cerrado"/>
    <s v="252"/>
  </r>
  <r>
    <n v="519"/>
    <x v="485"/>
    <x v="485"/>
    <x v="485"/>
    <x v="2"/>
    <x v="430"/>
    <x v="0"/>
    <x v="9"/>
    <s v="-31,4076397196409, -64,2020170430678"/>
    <d v="1990-04-01T00:00:00"/>
    <n v="28"/>
    <x v="3"/>
    <x v="0"/>
    <s v="🚺"/>
    <x v="2"/>
    <d v="1952-07-05T00:00:00"/>
    <n v="66"/>
    <x v="0"/>
    <x v="1"/>
    <s v="🚺"/>
    <n v="1"/>
    <x v="0"/>
    <x v="0"/>
    <s v="No aplica"/>
    <s v="5kg de cocaína"/>
    <x v="1"/>
    <x v="0"/>
    <s v="En investigación"/>
    <s v="132"/>
  </r>
  <r>
    <n v="456"/>
    <x v="486"/>
    <x v="486"/>
    <x v="486"/>
    <x v="0"/>
    <x v="431"/>
    <x v="0"/>
    <x v="9"/>
    <s v="-31,4076397196409, -64,2020170430678"/>
    <d v="1970-02-12T00:00:00"/>
    <n v="50"/>
    <x v="0"/>
    <x v="0"/>
    <s v="🚺"/>
    <x v="3"/>
    <d v="1963-11-13T00:00:00"/>
    <n v="56"/>
    <x v="2"/>
    <x v="1"/>
    <s v="🚺"/>
    <n v="3"/>
    <x v="1"/>
    <x v="1"/>
    <s v="No aplica"/>
    <s v="Auto modelo XXX, patente XXX XXX"/>
    <x v="0"/>
    <x v="0"/>
    <s v="En investigación"/>
    <s v="No aplica"/>
  </r>
  <r>
    <n v="520"/>
    <x v="199"/>
    <x v="199"/>
    <x v="199"/>
    <x v="4"/>
    <x v="267"/>
    <x v="0"/>
    <x v="7"/>
    <s v="-31,4015892433235, -64,160442876477"/>
    <d v="1954-11-03T00:00:00"/>
    <n v="68"/>
    <x v="4"/>
    <x v="1"/>
    <s v="🚹"/>
    <x v="4"/>
    <d v="1987-06-21T00:00:00"/>
    <n v="35"/>
    <x v="6"/>
    <x v="1"/>
    <s v="🚺"/>
    <n v="2"/>
    <x v="0"/>
    <x v="2"/>
    <s v="Alevosía"/>
    <s v="No aplica"/>
    <x v="1"/>
    <x v="1"/>
    <s v="Cerrado"/>
    <s v="146"/>
  </r>
  <r>
    <n v="986"/>
    <x v="487"/>
    <x v="487"/>
    <x v="487"/>
    <x v="2"/>
    <x v="432"/>
    <x v="5"/>
    <x v="10"/>
    <s v="-31,4285567311661, -64,1853198281007"/>
    <d v="1979-10-22T00:00:00"/>
    <n v="40"/>
    <x v="6"/>
    <x v="0"/>
    <s v="🚺"/>
    <x v="0"/>
    <d v="2010-02-14T00:00:00"/>
    <n v="10"/>
    <x v="5"/>
    <x v="0"/>
    <s v="🚹"/>
    <n v="1"/>
    <x v="1"/>
    <x v="0"/>
    <s v="No aplica"/>
    <s v="Grafitis en edificios públicos"/>
    <x v="1"/>
    <x v="0"/>
    <s v="Cerrado"/>
    <s v="No aplica"/>
  </r>
  <r>
    <n v="854"/>
    <x v="488"/>
    <x v="488"/>
    <x v="488"/>
    <x v="3"/>
    <x v="433"/>
    <x v="10"/>
    <x v="9"/>
    <s v="-31,4076397196409, -64,2020170430678"/>
    <d v="1959-10-09T00:00:00"/>
    <n v="60"/>
    <x v="5"/>
    <x v="0"/>
    <s v="🚺"/>
    <x v="4"/>
    <d v="2014-02-05T00:00:00"/>
    <n v="6"/>
    <x v="5"/>
    <x v="0"/>
    <s v="🚹"/>
    <n v="1"/>
    <x v="1"/>
    <x v="1"/>
    <s v="No aplica"/>
    <s v="Auto modelo XXX, patente XXX XXX"/>
    <x v="1"/>
    <x v="1"/>
    <s v="En investigación"/>
    <s v="No aplica"/>
  </r>
  <r>
    <n v="510"/>
    <x v="489"/>
    <x v="489"/>
    <x v="489"/>
    <x v="2"/>
    <x v="257"/>
    <x v="4"/>
    <x v="3"/>
    <s v="-31,4148488101991, -64,1793406489438"/>
    <d v="1974-06-20T00:00:00"/>
    <n v="46"/>
    <x v="0"/>
    <x v="1"/>
    <s v="🚹"/>
    <x v="0"/>
    <d v="1998-06-20T00:00:00"/>
    <n v="22"/>
    <x v="3"/>
    <x v="1"/>
    <s v="🚺"/>
    <n v="3"/>
    <x v="1"/>
    <x v="3"/>
    <s v="No aplica"/>
    <s v="Laptop marca HP"/>
    <x v="1"/>
    <x v="1"/>
    <s v="Cerrado"/>
    <s v="No aplica"/>
  </r>
  <r>
    <n v="522"/>
    <x v="490"/>
    <x v="490"/>
    <x v="490"/>
    <x v="3"/>
    <x v="434"/>
    <x v="11"/>
    <x v="0"/>
    <s v="-31,4800162965848, -64,2094200976892"/>
    <d v="2002-11-16T00:00:00"/>
    <n v="17"/>
    <x v="2"/>
    <x v="1"/>
    <s v="🚹"/>
    <x v="4"/>
    <d v="2005-07-07T00:00:00"/>
    <n v="14"/>
    <x v="5"/>
    <x v="0"/>
    <s v="🚹"/>
    <n v="3"/>
    <x v="0"/>
    <x v="0"/>
    <s v="No aplica"/>
    <s v="Plantas de marihuana"/>
    <x v="0"/>
    <x v="0"/>
    <s v="Abierto"/>
    <s v="7"/>
  </r>
  <r>
    <n v="524"/>
    <x v="382"/>
    <x v="382"/>
    <x v="382"/>
    <x v="3"/>
    <x v="407"/>
    <x v="8"/>
    <x v="4"/>
    <s v="-31,3759272890294, -64,2284587792478"/>
    <d v="2004-06-25T00:00:00"/>
    <n v="19"/>
    <x v="1"/>
    <x v="0"/>
    <s v="🚺"/>
    <x v="1"/>
    <d v="1949-02-07T00:00:00"/>
    <n v="75"/>
    <x v="0"/>
    <x v="0"/>
    <s v="🚹"/>
    <n v="1"/>
    <x v="0"/>
    <x v="0"/>
    <s v="No aplica"/>
    <s v="Lavado de dinero"/>
    <x v="1"/>
    <x v="0"/>
    <s v="Cerrado"/>
    <s v="99"/>
  </r>
  <r>
    <n v="526"/>
    <x v="491"/>
    <x v="491"/>
    <x v="491"/>
    <x v="5"/>
    <x v="305"/>
    <x v="0"/>
    <x v="3"/>
    <s v="-31,4148488101991, -64,1793406489438"/>
    <d v="1992-09-09T00:00:00"/>
    <n v="23"/>
    <x v="1"/>
    <x v="1"/>
    <s v="🚹"/>
    <x v="1"/>
    <d v="2008-11-10T00:00:00"/>
    <n v="7"/>
    <x v="5"/>
    <x v="1"/>
    <s v="🚺"/>
    <n v="1"/>
    <x v="0"/>
    <x v="4"/>
    <s v="Alevosía"/>
    <s v="No aplica"/>
    <x v="1"/>
    <x v="1"/>
    <s v="Cerrado"/>
    <s v="105"/>
  </r>
  <r>
    <n v="531"/>
    <x v="492"/>
    <x v="492"/>
    <x v="492"/>
    <x v="6"/>
    <x v="435"/>
    <x v="0"/>
    <x v="5"/>
    <s v="-31,3477902896523, -64,2644406169297"/>
    <d v="1963-07-02T00:00:00"/>
    <n v="59"/>
    <x v="5"/>
    <x v="0"/>
    <s v="🚺"/>
    <x v="1"/>
    <d v="1980-03-09T00:00:00"/>
    <n v="43"/>
    <x v="1"/>
    <x v="0"/>
    <s v="🚹"/>
    <n v="3"/>
    <x v="0"/>
    <x v="0"/>
    <s v="No aplica"/>
    <s v="Dinero público desviado"/>
    <x v="1"/>
    <x v="1"/>
    <s v="Cerrado"/>
    <s v="243"/>
  </r>
  <r>
    <n v="10"/>
    <x v="493"/>
    <x v="493"/>
    <x v="493"/>
    <x v="1"/>
    <x v="436"/>
    <x v="10"/>
    <x v="11"/>
    <s v="-31,4506257494184, -64,1733054344705"/>
    <d v="1955-10-11T00:00:00"/>
    <n v="64"/>
    <x v="5"/>
    <x v="0"/>
    <s v="🚺"/>
    <x v="3"/>
    <d v="1995-01-08T00:00:00"/>
    <n v="25"/>
    <x v="3"/>
    <x v="1"/>
    <s v="🚺"/>
    <n v="1"/>
    <x v="1"/>
    <x v="0"/>
    <s v="Por vínculo"/>
    <s v="No aplica"/>
    <x v="1"/>
    <x v="1"/>
    <s v="Abierto"/>
    <s v="No aplica"/>
  </r>
  <r>
    <n v="532"/>
    <x v="494"/>
    <x v="494"/>
    <x v="494"/>
    <x v="3"/>
    <x v="437"/>
    <x v="3"/>
    <x v="10"/>
    <s v="-31,4285567311661, -64,1853198281007"/>
    <d v="1953-10-12T00:00:00"/>
    <n v="70"/>
    <x v="4"/>
    <x v="0"/>
    <s v="🚺"/>
    <x v="3"/>
    <d v="1966-01-17T00:00:00"/>
    <n v="57"/>
    <x v="2"/>
    <x v="1"/>
    <s v="🚺"/>
    <n v="1"/>
    <x v="0"/>
    <x v="0"/>
    <s v="Alevosía"/>
    <s v="No aplica"/>
    <x v="1"/>
    <x v="1"/>
    <s v="En investigación"/>
    <s v="283"/>
  </r>
  <r>
    <n v="533"/>
    <x v="495"/>
    <x v="495"/>
    <x v="495"/>
    <x v="5"/>
    <x v="438"/>
    <x v="3"/>
    <x v="3"/>
    <s v="-31,4148488101991, -64,1793406489438"/>
    <d v="1955-06-18T00:00:00"/>
    <n v="61"/>
    <x v="5"/>
    <x v="1"/>
    <s v="🚹"/>
    <x v="1"/>
    <d v="1988-12-02T00:00:00"/>
    <n v="28"/>
    <x v="6"/>
    <x v="0"/>
    <s v="🚹"/>
    <n v="1"/>
    <x v="0"/>
    <x v="0"/>
    <s v="No aplica"/>
    <s v="Pasta base"/>
    <x v="1"/>
    <x v="1"/>
    <s v="Abierto"/>
    <s v="250"/>
  </r>
  <r>
    <n v="534"/>
    <x v="496"/>
    <x v="496"/>
    <x v="496"/>
    <x v="4"/>
    <x v="439"/>
    <x v="8"/>
    <x v="3"/>
    <s v="-31,4148488101991, -64,1793406489438"/>
    <d v="1968-08-09T00:00:00"/>
    <n v="56"/>
    <x v="5"/>
    <x v="0"/>
    <s v="🚺"/>
    <x v="3"/>
    <d v="1951-01-06T00:00:00"/>
    <n v="73"/>
    <x v="0"/>
    <x v="0"/>
    <s v="🚹"/>
    <n v="2"/>
    <x v="0"/>
    <x v="0"/>
    <s v="No aplica"/>
    <s v="Estafa bancaria"/>
    <x v="1"/>
    <x v="0"/>
    <s v="Cerrado"/>
    <s v="51"/>
  </r>
  <r>
    <n v="48"/>
    <x v="497"/>
    <x v="497"/>
    <x v="497"/>
    <x v="5"/>
    <x v="440"/>
    <x v="4"/>
    <x v="10"/>
    <s v="-31,4285567311661, -64,1853198281007"/>
    <d v="2000-06-27T00:00:00"/>
    <n v="20"/>
    <x v="1"/>
    <x v="0"/>
    <s v="🚺"/>
    <x v="0"/>
    <d v="1970-10-07T00:00:00"/>
    <n v="49"/>
    <x v="4"/>
    <x v="0"/>
    <s v="🚹"/>
    <n v="2"/>
    <x v="1"/>
    <x v="0"/>
    <s v="Alevosía"/>
    <s v="No aplica"/>
    <x v="1"/>
    <x v="1"/>
    <s v="En investigación"/>
    <s v="No aplica"/>
  </r>
  <r>
    <n v="535"/>
    <x v="498"/>
    <x v="498"/>
    <x v="498"/>
    <x v="3"/>
    <x v="411"/>
    <x v="2"/>
    <x v="0"/>
    <s v="-31,4800162965848, -64,2094200976892"/>
    <d v="1952-02-11T00:00:00"/>
    <n v="70"/>
    <x v="4"/>
    <x v="1"/>
    <s v="🚹"/>
    <x v="0"/>
    <d v="1966-02-05T00:00:00"/>
    <n v="56"/>
    <x v="2"/>
    <x v="0"/>
    <s v="🚹"/>
    <n v="2"/>
    <x v="0"/>
    <x v="0"/>
    <s v="No aplica"/>
    <s v="Cuentas falsas"/>
    <x v="1"/>
    <x v="1"/>
    <s v="Cerrado"/>
    <s v="74"/>
  </r>
  <r>
    <n v="802"/>
    <x v="499"/>
    <x v="499"/>
    <x v="499"/>
    <x v="4"/>
    <x v="441"/>
    <x v="6"/>
    <x v="7"/>
    <s v="-31,4015892433235, -64,160442876477"/>
    <d v="1955-08-18T00:00:00"/>
    <n v="65"/>
    <x v="4"/>
    <x v="1"/>
    <s v="🚹"/>
    <x v="2"/>
    <d v="1991-03-09T00:00:00"/>
    <n v="29"/>
    <x v="6"/>
    <x v="1"/>
    <s v="🚺"/>
    <n v="1"/>
    <x v="1"/>
    <x v="0"/>
    <s v="No aplica"/>
    <s v="Estafa bancaria"/>
    <x v="1"/>
    <x v="0"/>
    <s v="En investigación"/>
    <s v="No aplica"/>
  </r>
  <r>
    <n v="436"/>
    <x v="500"/>
    <x v="500"/>
    <x v="500"/>
    <x v="1"/>
    <x v="442"/>
    <x v="9"/>
    <x v="2"/>
    <s v="-31,334500143441, -64,2460773260564"/>
    <d v="1984-05-17T00:00:00"/>
    <n v="36"/>
    <x v="6"/>
    <x v="1"/>
    <s v="🚹"/>
    <x v="3"/>
    <d v="1942-07-10T00:00:00"/>
    <n v="78"/>
    <x v="0"/>
    <x v="0"/>
    <s v="🚹"/>
    <n v="1"/>
    <x v="1"/>
    <x v="1"/>
    <s v="No aplica"/>
    <s v="Auto modelo XXX, patente XXX XXX"/>
    <x v="1"/>
    <x v="0"/>
    <s v="Cerrado"/>
    <s v="No aplica"/>
  </r>
  <r>
    <n v="536"/>
    <x v="501"/>
    <x v="501"/>
    <x v="501"/>
    <x v="5"/>
    <x v="443"/>
    <x v="7"/>
    <x v="4"/>
    <s v="-31,3759272890294, -64,2284587792478"/>
    <d v="2002-08-02T00:00:00"/>
    <n v="21"/>
    <x v="1"/>
    <x v="0"/>
    <s v="🚺"/>
    <x v="4"/>
    <d v="1956-10-05T00:00:00"/>
    <n v="67"/>
    <x v="0"/>
    <x v="0"/>
    <s v="🚹"/>
    <n v="3"/>
    <x v="0"/>
    <x v="0"/>
    <s v="No aplica"/>
    <s v="Pasta base"/>
    <x v="1"/>
    <x v="0"/>
    <s v="Abierto"/>
    <s v="64"/>
  </r>
  <r>
    <n v="537"/>
    <x v="153"/>
    <x v="153"/>
    <x v="153"/>
    <x v="2"/>
    <x v="378"/>
    <x v="5"/>
    <x v="7"/>
    <s v="-31,4015892433235, -64,160442876477"/>
    <d v="1998-02-10T00:00:00"/>
    <n v="18"/>
    <x v="1"/>
    <x v="1"/>
    <s v="🚹"/>
    <x v="0"/>
    <d v="2003-03-25T00:00:00"/>
    <n v="13"/>
    <x v="5"/>
    <x v="0"/>
    <s v="🚹"/>
    <n v="3"/>
    <x v="0"/>
    <x v="0"/>
    <s v="No aplica"/>
    <s v="Contrato fraudulento"/>
    <x v="1"/>
    <x v="1"/>
    <s v="En investigación"/>
    <s v="300"/>
  </r>
  <r>
    <n v="808"/>
    <x v="502"/>
    <x v="502"/>
    <x v="502"/>
    <x v="1"/>
    <x v="444"/>
    <x v="10"/>
    <x v="3"/>
    <s v="-31,4148488101991, -64,1793406489438"/>
    <d v="1992-08-13T00:00:00"/>
    <n v="28"/>
    <x v="3"/>
    <x v="0"/>
    <s v="🚺"/>
    <x v="4"/>
    <d v="1973-01-22T00:00:00"/>
    <n v="47"/>
    <x v="4"/>
    <x v="0"/>
    <s v="🚹"/>
    <n v="3"/>
    <x v="1"/>
    <x v="1"/>
    <s v="No aplica"/>
    <s v="Celular, tarjetas bancarias"/>
    <x v="1"/>
    <x v="1"/>
    <s v="Cerrado"/>
    <s v="No aplica"/>
  </r>
  <r>
    <n v="538"/>
    <x v="503"/>
    <x v="503"/>
    <x v="503"/>
    <x v="1"/>
    <x v="365"/>
    <x v="11"/>
    <x v="4"/>
    <s v="-31,3759272890294, -64,2284587792478"/>
    <d v="1986-04-10T00:00:00"/>
    <n v="37"/>
    <x v="6"/>
    <x v="1"/>
    <s v="🚹"/>
    <x v="2"/>
    <d v="1978-09-05T00:00:00"/>
    <n v="45"/>
    <x v="1"/>
    <x v="1"/>
    <s v="🚺"/>
    <n v="2"/>
    <x v="0"/>
    <x v="2"/>
    <s v="Con ensañamiento"/>
    <s v="No aplica"/>
    <x v="1"/>
    <x v="1"/>
    <s v="Cerrado"/>
    <s v="247"/>
  </r>
  <r>
    <n v="194"/>
    <x v="504"/>
    <x v="504"/>
    <x v="504"/>
    <x v="4"/>
    <x v="445"/>
    <x v="8"/>
    <x v="10"/>
    <s v="-31,4285567311661, -64,1853198281007"/>
    <d v="1972-09-07T00:00:00"/>
    <n v="48"/>
    <x v="0"/>
    <x v="1"/>
    <s v="🚹"/>
    <x v="3"/>
    <d v="1980-06-23T00:00:00"/>
    <n v="40"/>
    <x v="1"/>
    <x v="0"/>
    <s v="🚹"/>
    <n v="2"/>
    <x v="1"/>
    <x v="0"/>
    <s v="No aplica"/>
    <s v="Vidrios de comercio rotos"/>
    <x v="0"/>
    <x v="0"/>
    <s v="Cerrado"/>
    <s v="No aplica"/>
  </r>
  <r>
    <n v="38"/>
    <x v="282"/>
    <x v="282"/>
    <x v="282"/>
    <x v="5"/>
    <x v="446"/>
    <x v="9"/>
    <x v="2"/>
    <s v="-31,334500143441, -64,2460773260564"/>
    <d v="1972-05-04T00:00:00"/>
    <n v="48"/>
    <x v="0"/>
    <x v="0"/>
    <s v="🚺"/>
    <x v="2"/>
    <d v="1979-07-19T00:00:00"/>
    <n v="41"/>
    <x v="1"/>
    <x v="0"/>
    <s v="🚹"/>
    <n v="2"/>
    <x v="1"/>
    <x v="2"/>
    <s v="Alevosía"/>
    <s v="No aplica"/>
    <x v="1"/>
    <x v="0"/>
    <s v="Cerrado"/>
    <s v="No aplica"/>
  </r>
  <r>
    <n v="539"/>
    <x v="505"/>
    <x v="505"/>
    <x v="505"/>
    <x v="5"/>
    <x v="267"/>
    <x v="2"/>
    <x v="8"/>
    <s v="-31,423018915313, -64,1493562190664"/>
    <d v="2001-11-28T00:00:00"/>
    <n v="19"/>
    <x v="1"/>
    <x v="0"/>
    <s v="🚺"/>
    <x v="0"/>
    <d v="2008-06-18T00:00:00"/>
    <n v="13"/>
    <x v="5"/>
    <x v="0"/>
    <s v="🚹"/>
    <n v="3"/>
    <x v="0"/>
    <x v="2"/>
    <s v="Por vínculo"/>
    <s v="No aplica"/>
    <x v="0"/>
    <x v="1"/>
    <s v="Cerrado"/>
    <s v="61"/>
  </r>
  <r>
    <n v="541"/>
    <x v="506"/>
    <x v="506"/>
    <x v="506"/>
    <x v="5"/>
    <x v="447"/>
    <x v="9"/>
    <x v="2"/>
    <s v="-31,334500143441, -64,2460773260564"/>
    <d v="1963-09-27T00:00:00"/>
    <n v="53"/>
    <x v="0"/>
    <x v="1"/>
    <s v="🚹"/>
    <x v="2"/>
    <d v="1976-02-05T00:00:00"/>
    <n v="41"/>
    <x v="1"/>
    <x v="0"/>
    <s v="🚹"/>
    <n v="1"/>
    <x v="0"/>
    <x v="4"/>
    <s v="Alevosía"/>
    <s v="No aplica"/>
    <x v="1"/>
    <x v="0"/>
    <s v="Abierto"/>
    <s v="90"/>
  </r>
  <r>
    <n v="831"/>
    <x v="282"/>
    <x v="282"/>
    <x v="282"/>
    <x v="5"/>
    <x v="448"/>
    <x v="10"/>
    <x v="1"/>
    <s v="-31,4129883640337, -64,1681120522587"/>
    <d v="1963-04-21T00:00:00"/>
    <n v="57"/>
    <x v="5"/>
    <x v="1"/>
    <s v="🚹"/>
    <x v="0"/>
    <d v="1971-11-21T00:00:00"/>
    <n v="48"/>
    <x v="4"/>
    <x v="0"/>
    <s v="🚹"/>
    <n v="3"/>
    <x v="1"/>
    <x v="0"/>
    <s v="Por vínculo"/>
    <s v="No aplica"/>
    <x v="1"/>
    <x v="0"/>
    <s v="En investigación"/>
    <s v="No aplica"/>
  </r>
  <r>
    <n v="22"/>
    <x v="507"/>
    <x v="507"/>
    <x v="507"/>
    <x v="2"/>
    <x v="449"/>
    <x v="9"/>
    <x v="11"/>
    <s v="-31,4506257494184, -64,1733054344705"/>
    <d v="2003-03-28T00:00:00"/>
    <n v="17"/>
    <x v="2"/>
    <x v="1"/>
    <s v="🚹"/>
    <x v="2"/>
    <d v="2002-05-23T00:00:00"/>
    <n v="18"/>
    <x v="3"/>
    <x v="0"/>
    <s v="🚹"/>
    <n v="1"/>
    <x v="1"/>
    <x v="0"/>
    <s v="No aplica"/>
    <s v="Lavado de dinero"/>
    <x v="0"/>
    <x v="1"/>
    <s v="Abierto"/>
    <s v="No aplica"/>
  </r>
  <r>
    <n v="542"/>
    <x v="508"/>
    <x v="508"/>
    <x v="508"/>
    <x v="6"/>
    <x v="27"/>
    <x v="9"/>
    <x v="1"/>
    <s v="-31,4129883640337, -64,1681120522587"/>
    <d v="1970-12-03T00:00:00"/>
    <n v="52"/>
    <x v="0"/>
    <x v="0"/>
    <s v="🚺"/>
    <x v="1"/>
    <d v="1974-09-22T00:00:00"/>
    <n v="48"/>
    <x v="4"/>
    <x v="1"/>
    <s v="🚺"/>
    <n v="1"/>
    <x v="0"/>
    <x v="1"/>
    <s v="Con ensañamiento"/>
    <s v="No aplica"/>
    <x v="1"/>
    <x v="0"/>
    <s v="En investigación"/>
    <s v="15"/>
  </r>
  <r>
    <n v="543"/>
    <x v="509"/>
    <x v="509"/>
    <x v="509"/>
    <x v="2"/>
    <x v="260"/>
    <x v="7"/>
    <x v="2"/>
    <s v="-31,334500143441, -64,2460773260564"/>
    <d v="1952-05-27T00:00:00"/>
    <n v="66"/>
    <x v="4"/>
    <x v="0"/>
    <s v="🚺"/>
    <x v="1"/>
    <d v="1983-04-16T00:00:00"/>
    <n v="36"/>
    <x v="1"/>
    <x v="0"/>
    <s v="🚹"/>
    <n v="2"/>
    <x v="0"/>
    <x v="0"/>
    <s v="No aplica"/>
    <s v="Lavado de dinero"/>
    <x v="1"/>
    <x v="1"/>
    <s v="Abierto"/>
    <s v="91"/>
  </r>
  <r>
    <n v="544"/>
    <x v="510"/>
    <x v="510"/>
    <x v="510"/>
    <x v="4"/>
    <x v="450"/>
    <x v="7"/>
    <x v="5"/>
    <s v="-31,3477902896523, -64,2644406169297"/>
    <d v="1984-05-16T00:00:00"/>
    <n v="33"/>
    <x v="3"/>
    <x v="0"/>
    <s v="🚺"/>
    <x v="4"/>
    <d v="1957-02-06T00:00:00"/>
    <n v="61"/>
    <x v="2"/>
    <x v="0"/>
    <s v="🚹"/>
    <n v="3"/>
    <x v="0"/>
    <x v="0"/>
    <s v="No aplica"/>
    <s v="Plantas de marihuana"/>
    <x v="0"/>
    <x v="0"/>
    <s v="Abierto"/>
    <s v="95"/>
  </r>
  <r>
    <n v="380"/>
    <x v="511"/>
    <x v="511"/>
    <x v="511"/>
    <x v="6"/>
    <x v="356"/>
    <x v="2"/>
    <x v="3"/>
    <s v="-31,4148488101991, -64,1793406489438"/>
    <d v="2006-01-05T00:00:00"/>
    <n v="14"/>
    <x v="2"/>
    <x v="0"/>
    <s v="🚺"/>
    <x v="0"/>
    <d v="1994-07-14T00:00:00"/>
    <n v="26"/>
    <x v="6"/>
    <x v="0"/>
    <s v="🚹"/>
    <n v="1"/>
    <x v="1"/>
    <x v="0"/>
    <s v="No aplica"/>
    <s v="Contrato fraudulento"/>
    <x v="1"/>
    <x v="1"/>
    <s v="Cerrado"/>
    <s v="No aplica"/>
  </r>
  <r>
    <n v="547"/>
    <x v="512"/>
    <x v="512"/>
    <x v="512"/>
    <x v="6"/>
    <x v="451"/>
    <x v="0"/>
    <x v="7"/>
    <s v="-31,4015892433235, -64,160442876477"/>
    <d v="2006-08-27T00:00:00"/>
    <n v="15"/>
    <x v="2"/>
    <x v="0"/>
    <s v="🚺"/>
    <x v="1"/>
    <d v="2008-08-23T00:00:00"/>
    <n v="13"/>
    <x v="5"/>
    <x v="1"/>
    <s v="🚺"/>
    <n v="1"/>
    <x v="0"/>
    <x v="3"/>
    <s v="No aplica"/>
    <s v="Celular, tarjetas bancarias"/>
    <x v="1"/>
    <x v="0"/>
    <s v="Cerrado"/>
    <s v="298"/>
  </r>
  <r>
    <n v="550"/>
    <x v="513"/>
    <x v="513"/>
    <x v="513"/>
    <x v="6"/>
    <x v="452"/>
    <x v="0"/>
    <x v="3"/>
    <s v="-31,4148488101991, -64,1793406489438"/>
    <d v="1989-04-14T00:00:00"/>
    <n v="35"/>
    <x v="3"/>
    <x v="0"/>
    <s v="🚺"/>
    <x v="4"/>
    <d v="1947-04-19T00:00:00"/>
    <n v="77"/>
    <x v="0"/>
    <x v="1"/>
    <s v="🚺"/>
    <n v="3"/>
    <x v="0"/>
    <x v="0"/>
    <s v="No aplica"/>
    <s v="Ropa de marca"/>
    <x v="1"/>
    <x v="0"/>
    <s v="Cerrado"/>
    <s v="111"/>
  </r>
  <r>
    <n v="551"/>
    <x v="41"/>
    <x v="41"/>
    <x v="41"/>
    <x v="6"/>
    <x v="453"/>
    <x v="6"/>
    <x v="7"/>
    <s v="-31,4015892433235, -64,160442876477"/>
    <d v="1970-06-22T00:00:00"/>
    <n v="45"/>
    <x v="6"/>
    <x v="0"/>
    <s v="🚺"/>
    <x v="2"/>
    <d v="1985-06-09T00:00:00"/>
    <n v="30"/>
    <x v="6"/>
    <x v="0"/>
    <s v="🚹"/>
    <n v="2"/>
    <x v="0"/>
    <x v="0"/>
    <s v="Por vínculo"/>
    <s v="No aplica"/>
    <x v="1"/>
    <x v="1"/>
    <s v="En investigación"/>
    <s v="205"/>
  </r>
  <r>
    <n v="429"/>
    <x v="514"/>
    <x v="514"/>
    <x v="514"/>
    <x v="3"/>
    <x v="454"/>
    <x v="0"/>
    <x v="3"/>
    <s v="-31,4148488101991, -64,1793406489438"/>
    <d v="1989-06-06T00:00:00"/>
    <n v="31"/>
    <x v="3"/>
    <x v="1"/>
    <s v="🚹"/>
    <x v="2"/>
    <d v="2007-03-03T00:00:00"/>
    <n v="13"/>
    <x v="5"/>
    <x v="0"/>
    <s v="🚹"/>
    <n v="3"/>
    <x v="1"/>
    <x v="0"/>
    <s v="No aplica"/>
    <s v="No aplica"/>
    <x v="1"/>
    <x v="0"/>
    <s v="Cerrado"/>
    <s v="No aplica"/>
  </r>
  <r>
    <n v="835"/>
    <x v="515"/>
    <x v="515"/>
    <x v="515"/>
    <x v="6"/>
    <x v="455"/>
    <x v="6"/>
    <x v="11"/>
    <s v="-31,4506257494184, -64,1733054344705"/>
    <d v="1972-07-23T00:00:00"/>
    <n v="48"/>
    <x v="0"/>
    <x v="0"/>
    <s v="🚺"/>
    <x v="1"/>
    <d v="2005-09-01T00:00:00"/>
    <n v="15"/>
    <x v="5"/>
    <x v="1"/>
    <s v="🚺"/>
    <n v="3"/>
    <x v="1"/>
    <x v="0"/>
    <s v="Alevosía"/>
    <s v="No aplica"/>
    <x v="0"/>
    <x v="0"/>
    <s v="Cerrado"/>
    <s v="No aplica"/>
  </r>
  <r>
    <n v="423"/>
    <x v="516"/>
    <x v="516"/>
    <x v="516"/>
    <x v="4"/>
    <x v="456"/>
    <x v="3"/>
    <x v="8"/>
    <s v="-31,423018915313, -64,1493562190664"/>
    <d v="1998-02-13T00:00:00"/>
    <n v="22"/>
    <x v="1"/>
    <x v="0"/>
    <s v="🚺"/>
    <x v="1"/>
    <d v="1995-05-27T00:00:00"/>
    <n v="25"/>
    <x v="3"/>
    <x v="1"/>
    <s v="🚺"/>
    <n v="2"/>
    <x v="1"/>
    <x v="0"/>
    <s v="Alevosía"/>
    <s v="No aplica"/>
    <x v="1"/>
    <x v="1"/>
    <s v="En investigación"/>
    <s v="No aplica"/>
  </r>
  <r>
    <n v="283"/>
    <x v="517"/>
    <x v="517"/>
    <x v="517"/>
    <x v="1"/>
    <x v="63"/>
    <x v="6"/>
    <x v="8"/>
    <s v="-31,423018915313, -64,1493562190664"/>
    <d v="1958-06-27T00:00:00"/>
    <n v="62"/>
    <x v="5"/>
    <x v="1"/>
    <s v="🚹"/>
    <x v="1"/>
    <d v="2006-06-21T00:00:00"/>
    <n v="14"/>
    <x v="5"/>
    <x v="0"/>
    <s v="🚹"/>
    <n v="3"/>
    <x v="1"/>
    <x v="3"/>
    <s v="No aplica"/>
    <s v="Auto modelo XXX, patente XXX XXX"/>
    <x v="1"/>
    <x v="1"/>
    <s v="Abierto"/>
    <s v="No aplica"/>
  </r>
  <r>
    <n v="818"/>
    <x v="518"/>
    <x v="518"/>
    <x v="518"/>
    <x v="2"/>
    <x v="457"/>
    <x v="2"/>
    <x v="6"/>
    <s v="-31,3909520937826, -64,1836424491715"/>
    <d v="1950-01-18T00:00:00"/>
    <n v="70"/>
    <x v="4"/>
    <x v="0"/>
    <s v="🚺"/>
    <x v="0"/>
    <d v="1948-08-25T00:00:00"/>
    <n v="72"/>
    <x v="0"/>
    <x v="0"/>
    <s v="🚹"/>
    <n v="1"/>
    <x v="1"/>
    <x v="2"/>
    <s v="Alevosía"/>
    <s v="No aplica"/>
    <x v="1"/>
    <x v="1"/>
    <s v="Cerrado"/>
    <s v="No aplica"/>
  </r>
  <r>
    <n v="970"/>
    <x v="518"/>
    <x v="518"/>
    <x v="518"/>
    <x v="2"/>
    <x v="233"/>
    <x v="3"/>
    <x v="3"/>
    <s v="-31,4148488101991, -64,1793406489438"/>
    <d v="1994-05-23T00:00:00"/>
    <n v="26"/>
    <x v="3"/>
    <x v="1"/>
    <s v="🚹"/>
    <x v="0"/>
    <d v="1980-06-19T00:00:00"/>
    <n v="40"/>
    <x v="1"/>
    <x v="1"/>
    <s v="🚺"/>
    <n v="2"/>
    <x v="1"/>
    <x v="0"/>
    <s v="No aplica"/>
    <s v="Lavado de dinero"/>
    <x v="1"/>
    <x v="0"/>
    <s v="Abierto"/>
    <s v="No aplica"/>
  </r>
  <r>
    <n v="552"/>
    <x v="519"/>
    <x v="519"/>
    <x v="519"/>
    <x v="4"/>
    <x v="458"/>
    <x v="5"/>
    <x v="6"/>
    <s v="-31,3909520937826, -64,1836424491715"/>
    <d v="1987-12-14T00:00:00"/>
    <n v="36"/>
    <x v="6"/>
    <x v="0"/>
    <s v="🚺"/>
    <x v="3"/>
    <d v="1963-03-15T00:00:00"/>
    <n v="60"/>
    <x v="2"/>
    <x v="1"/>
    <s v="🚺"/>
    <n v="2"/>
    <x v="0"/>
    <x v="4"/>
    <s v="Con ensañamiento"/>
    <s v="No aplica"/>
    <x v="0"/>
    <x v="0"/>
    <s v="Abierto"/>
    <s v="254"/>
  </r>
  <r>
    <n v="999"/>
    <x v="520"/>
    <x v="520"/>
    <x v="520"/>
    <x v="6"/>
    <x v="459"/>
    <x v="3"/>
    <x v="3"/>
    <s v="-31,4148488101991, -64,1793406489438"/>
    <d v="1991-02-18T00:00:00"/>
    <n v="29"/>
    <x v="3"/>
    <x v="0"/>
    <s v="🚺"/>
    <x v="4"/>
    <d v="1977-08-24T00:00:00"/>
    <n v="43"/>
    <x v="1"/>
    <x v="1"/>
    <s v="🚺"/>
    <n v="1"/>
    <x v="1"/>
    <x v="2"/>
    <s v="Alevosía"/>
    <s v="No aplica"/>
    <x v="1"/>
    <x v="0"/>
    <s v="En investigación"/>
    <s v="No aplica"/>
  </r>
  <r>
    <n v="554"/>
    <x v="521"/>
    <x v="521"/>
    <x v="521"/>
    <x v="2"/>
    <x v="18"/>
    <x v="4"/>
    <x v="0"/>
    <s v="-31,4800162965848, -64,2094200976892"/>
    <d v="1982-08-02T00:00:00"/>
    <n v="36"/>
    <x v="6"/>
    <x v="0"/>
    <s v="🚺"/>
    <x v="0"/>
    <d v="1983-05-11T00:00:00"/>
    <n v="35"/>
    <x v="6"/>
    <x v="1"/>
    <s v="🚺"/>
    <n v="1"/>
    <x v="0"/>
    <x v="0"/>
    <s v="No aplica"/>
    <s v="Celular"/>
    <x v="1"/>
    <x v="0"/>
    <s v="Cerrado"/>
    <s v="33"/>
  </r>
  <r>
    <n v="555"/>
    <x v="522"/>
    <x v="522"/>
    <x v="522"/>
    <x v="0"/>
    <x v="460"/>
    <x v="10"/>
    <x v="7"/>
    <s v="-31,4015892433235, -64,160442876477"/>
    <d v="1981-10-11T00:00:00"/>
    <n v="34"/>
    <x v="3"/>
    <x v="0"/>
    <s v="🚺"/>
    <x v="1"/>
    <d v="2011-06-01T00:00:00"/>
    <n v="5"/>
    <x v="5"/>
    <x v="0"/>
    <s v="🚹"/>
    <n v="1"/>
    <x v="0"/>
    <x v="0"/>
    <s v="No aplica"/>
    <s v="No aplica"/>
    <x v="1"/>
    <x v="1"/>
    <s v="Abierto"/>
    <s v="73"/>
  </r>
  <r>
    <n v="458"/>
    <x v="523"/>
    <x v="523"/>
    <x v="523"/>
    <x v="1"/>
    <x v="461"/>
    <x v="5"/>
    <x v="7"/>
    <s v="-31,4015892433235, -64,160442876477"/>
    <d v="1964-10-14T00:00:00"/>
    <n v="56"/>
    <x v="5"/>
    <x v="0"/>
    <s v="🚺"/>
    <x v="1"/>
    <d v="1971-06-12T00:00:00"/>
    <n v="49"/>
    <x v="4"/>
    <x v="1"/>
    <s v="🚺"/>
    <n v="3"/>
    <x v="1"/>
    <x v="0"/>
    <s v="No aplica"/>
    <s v="Pasta base"/>
    <x v="1"/>
    <x v="0"/>
    <s v="Abierto"/>
    <s v="No aplica"/>
  </r>
  <r>
    <n v="386"/>
    <x v="524"/>
    <x v="524"/>
    <x v="524"/>
    <x v="3"/>
    <x v="239"/>
    <x v="11"/>
    <x v="2"/>
    <s v="-31,334500143441, -64,2460773260564"/>
    <d v="1999-08-26T00:00:00"/>
    <n v="21"/>
    <x v="1"/>
    <x v="0"/>
    <s v="🚺"/>
    <x v="3"/>
    <d v="1944-04-04T00:00:00"/>
    <n v="76"/>
    <x v="0"/>
    <x v="1"/>
    <s v="🚺"/>
    <n v="2"/>
    <x v="1"/>
    <x v="0"/>
    <s v="No aplica"/>
    <s v="Contrato fraudulento"/>
    <x v="0"/>
    <x v="1"/>
    <s v="Cerrado"/>
    <s v="No aplica"/>
  </r>
  <r>
    <n v="890"/>
    <x v="525"/>
    <x v="525"/>
    <x v="525"/>
    <x v="4"/>
    <x v="462"/>
    <x v="2"/>
    <x v="4"/>
    <s v="-31,3759272890294, -64,2284587792478"/>
    <d v="2002-08-07T00:00:00"/>
    <n v="18"/>
    <x v="1"/>
    <x v="1"/>
    <s v="🚹"/>
    <x v="0"/>
    <d v="1943-10-06T00:00:00"/>
    <n v="77"/>
    <x v="0"/>
    <x v="0"/>
    <s v="🚹"/>
    <n v="1"/>
    <x v="1"/>
    <x v="1"/>
    <s v="No aplica"/>
    <s v="Celular, tarjetas bancarias"/>
    <x v="1"/>
    <x v="0"/>
    <s v="Cerrado"/>
    <s v="No aplica"/>
  </r>
  <r>
    <n v="557"/>
    <x v="526"/>
    <x v="526"/>
    <x v="526"/>
    <x v="0"/>
    <x v="463"/>
    <x v="3"/>
    <x v="3"/>
    <s v="-31,4148488101991, -64,1793406489438"/>
    <d v="1962-09-22T00:00:00"/>
    <n v="60"/>
    <x v="5"/>
    <x v="1"/>
    <s v="🚹"/>
    <x v="1"/>
    <d v="1992-03-18T00:00:00"/>
    <n v="30"/>
    <x v="6"/>
    <x v="1"/>
    <s v="🚺"/>
    <n v="3"/>
    <x v="0"/>
    <x v="0"/>
    <s v="No aplica"/>
    <s v="Cuentas falsas"/>
    <x v="0"/>
    <x v="1"/>
    <s v="Abierto"/>
    <s v="109"/>
  </r>
  <r>
    <n v="594"/>
    <x v="527"/>
    <x v="527"/>
    <x v="527"/>
    <x v="3"/>
    <x v="464"/>
    <x v="1"/>
    <x v="5"/>
    <s v="-31,3477902896523, -64,2644406169297"/>
    <d v="1979-02-27T00:00:00"/>
    <n v="41"/>
    <x v="6"/>
    <x v="1"/>
    <s v="🚹"/>
    <x v="1"/>
    <d v="1970-01-04T00:00:00"/>
    <n v="50"/>
    <x v="4"/>
    <x v="0"/>
    <s v="🚹"/>
    <n v="1"/>
    <x v="1"/>
    <x v="0"/>
    <s v="Por vínculo"/>
    <s v="No aplica"/>
    <x v="0"/>
    <x v="1"/>
    <s v="Abierto"/>
    <s v="No aplica"/>
  </r>
  <r>
    <n v="493"/>
    <x v="528"/>
    <x v="528"/>
    <x v="528"/>
    <x v="4"/>
    <x v="465"/>
    <x v="10"/>
    <x v="10"/>
    <s v="-31,4285567311661, -64,1853198281007"/>
    <d v="1963-12-26T00:00:00"/>
    <n v="57"/>
    <x v="5"/>
    <x v="0"/>
    <s v="🚺"/>
    <x v="0"/>
    <d v="2012-09-14T00:00:00"/>
    <n v="8"/>
    <x v="5"/>
    <x v="0"/>
    <s v="🚹"/>
    <n v="3"/>
    <x v="1"/>
    <x v="0"/>
    <s v="Por vínculo"/>
    <s v="No aplica"/>
    <x v="1"/>
    <x v="1"/>
    <s v="Abierto"/>
    <s v="No aplica"/>
  </r>
  <r>
    <n v="559"/>
    <x v="529"/>
    <x v="529"/>
    <x v="529"/>
    <x v="1"/>
    <x v="290"/>
    <x v="8"/>
    <x v="9"/>
    <s v="-31,4076397196409, -64,2020170430678"/>
    <d v="1983-11-19T00:00:00"/>
    <n v="33"/>
    <x v="3"/>
    <x v="0"/>
    <s v="🚺"/>
    <x v="0"/>
    <d v="1990-03-28T00:00:00"/>
    <n v="26"/>
    <x v="6"/>
    <x v="1"/>
    <s v="🚺"/>
    <n v="1"/>
    <x v="0"/>
    <x v="0"/>
    <s v="Por vínculo"/>
    <s v="No aplica"/>
    <x v="1"/>
    <x v="0"/>
    <s v="Abierto"/>
    <s v="55"/>
  </r>
  <r>
    <n v="560"/>
    <x v="530"/>
    <x v="530"/>
    <x v="530"/>
    <x v="4"/>
    <x v="90"/>
    <x v="2"/>
    <x v="1"/>
    <s v="-31,4129883640337, -64,1681120522587"/>
    <d v="1979-03-28T00:00:00"/>
    <n v="43"/>
    <x v="6"/>
    <x v="1"/>
    <s v="🚹"/>
    <x v="3"/>
    <d v="2009-09-16T00:00:00"/>
    <n v="12"/>
    <x v="5"/>
    <x v="0"/>
    <s v="🚹"/>
    <n v="2"/>
    <x v="0"/>
    <x v="0"/>
    <s v="No aplica"/>
    <s v="Plantas de marihuana"/>
    <x v="0"/>
    <x v="0"/>
    <s v="Abierto"/>
    <s v="193"/>
  </r>
  <r>
    <n v="635"/>
    <x v="531"/>
    <x v="531"/>
    <x v="531"/>
    <x v="3"/>
    <x v="466"/>
    <x v="1"/>
    <x v="2"/>
    <s v="-31,334500143441, -64,2460773260564"/>
    <d v="1983-12-02T00:00:00"/>
    <n v="37"/>
    <x v="6"/>
    <x v="1"/>
    <s v="🚹"/>
    <x v="2"/>
    <d v="1960-02-16T00:00:00"/>
    <n v="60"/>
    <x v="2"/>
    <x v="1"/>
    <s v="🚺"/>
    <n v="1"/>
    <x v="1"/>
    <x v="0"/>
    <s v="No aplica"/>
    <s v="Cuentas falsas"/>
    <x v="1"/>
    <x v="1"/>
    <s v="Abierto"/>
    <s v="No aplica"/>
  </r>
  <r>
    <n v="62"/>
    <x v="532"/>
    <x v="532"/>
    <x v="532"/>
    <x v="4"/>
    <x v="467"/>
    <x v="3"/>
    <x v="6"/>
    <s v="-31,3909520937826, -64,1836424491715"/>
    <d v="1952-08-17T00:00:00"/>
    <n v="68"/>
    <x v="4"/>
    <x v="1"/>
    <s v="🚹"/>
    <x v="0"/>
    <d v="2008-07-14T00:00:00"/>
    <n v="12"/>
    <x v="5"/>
    <x v="0"/>
    <s v="🚹"/>
    <n v="1"/>
    <x v="1"/>
    <x v="0"/>
    <s v="No aplica"/>
    <s v="Cuentas falsas"/>
    <x v="1"/>
    <x v="0"/>
    <s v="Abierto"/>
    <s v="No aplica"/>
  </r>
  <r>
    <n v="561"/>
    <x v="533"/>
    <x v="533"/>
    <x v="533"/>
    <x v="6"/>
    <x v="15"/>
    <x v="10"/>
    <x v="4"/>
    <s v="-31,3759272890294, -64,2284587792478"/>
    <d v="1990-06-20T00:00:00"/>
    <n v="33"/>
    <x v="3"/>
    <x v="0"/>
    <s v="🚺"/>
    <x v="4"/>
    <d v="1992-08-25T00:00:00"/>
    <n v="31"/>
    <x v="6"/>
    <x v="0"/>
    <s v="🚹"/>
    <n v="3"/>
    <x v="0"/>
    <x v="0"/>
    <s v="No aplica"/>
    <s v="Plantas de marihuana"/>
    <x v="1"/>
    <x v="0"/>
    <s v="En investigación"/>
    <s v="166"/>
  </r>
  <r>
    <n v="649"/>
    <x v="534"/>
    <x v="534"/>
    <x v="534"/>
    <x v="3"/>
    <x v="344"/>
    <x v="2"/>
    <x v="6"/>
    <s v="-31,3909520937826, -64,1836424491715"/>
    <d v="1977-11-16T00:00:00"/>
    <n v="43"/>
    <x v="6"/>
    <x v="0"/>
    <s v="🚺"/>
    <x v="1"/>
    <d v="1952-02-05T00:00:00"/>
    <n v="68"/>
    <x v="0"/>
    <x v="0"/>
    <s v="🚹"/>
    <n v="3"/>
    <x v="1"/>
    <x v="0"/>
    <s v="Sin agravantes"/>
    <s v="No aplica"/>
    <x v="1"/>
    <x v="1"/>
    <s v="Cerrado"/>
    <s v="No aplica"/>
  </r>
  <r>
    <n v="564"/>
    <x v="535"/>
    <x v="535"/>
    <x v="535"/>
    <x v="5"/>
    <x v="468"/>
    <x v="9"/>
    <x v="7"/>
    <s v="-31,4015892433235, -64,160442876477"/>
    <d v="1965-09-14T00:00:00"/>
    <n v="50"/>
    <x v="0"/>
    <x v="1"/>
    <s v="🚹"/>
    <x v="4"/>
    <d v="2000-05-25T00:00:00"/>
    <n v="15"/>
    <x v="5"/>
    <x v="0"/>
    <s v="🚹"/>
    <n v="1"/>
    <x v="0"/>
    <x v="0"/>
    <s v="No aplica"/>
    <s v="5kg de cocaína"/>
    <x v="0"/>
    <x v="1"/>
    <s v="Cerrado"/>
    <s v="295"/>
  </r>
  <r>
    <n v="566"/>
    <x v="241"/>
    <x v="241"/>
    <x v="241"/>
    <x v="3"/>
    <x v="231"/>
    <x v="7"/>
    <x v="4"/>
    <s v="-31,3759272890294, -64,2284587792478"/>
    <d v="1989-07-08T00:00:00"/>
    <n v="28"/>
    <x v="3"/>
    <x v="1"/>
    <s v="🚹"/>
    <x v="0"/>
    <d v="2006-06-06T00:00:00"/>
    <n v="11"/>
    <x v="5"/>
    <x v="0"/>
    <s v="🚹"/>
    <n v="3"/>
    <x v="0"/>
    <x v="0"/>
    <s v="No aplica"/>
    <s v="Estafa bancaria"/>
    <x v="1"/>
    <x v="1"/>
    <s v="Abierto"/>
    <s v="221"/>
  </r>
  <r>
    <n v="567"/>
    <x v="536"/>
    <x v="536"/>
    <x v="536"/>
    <x v="4"/>
    <x v="469"/>
    <x v="7"/>
    <x v="10"/>
    <s v="-31,4285567311661, -64,1853198281007"/>
    <d v="1955-06-26T00:00:00"/>
    <n v="68"/>
    <x v="4"/>
    <x v="1"/>
    <s v="🚹"/>
    <x v="4"/>
    <d v="1994-12-22T00:00:00"/>
    <n v="29"/>
    <x v="6"/>
    <x v="1"/>
    <s v="🚺"/>
    <n v="3"/>
    <x v="0"/>
    <x v="4"/>
    <s v="No aplica"/>
    <s v="Auto modelo XXX, patente XXX XXX"/>
    <x v="1"/>
    <x v="0"/>
    <s v="Abierto"/>
    <s v="179"/>
  </r>
  <r>
    <n v="570"/>
    <x v="537"/>
    <x v="537"/>
    <x v="537"/>
    <x v="2"/>
    <x v="312"/>
    <x v="9"/>
    <x v="8"/>
    <s v="-31,423018915313, -64,1493562190664"/>
    <d v="1999-12-27T00:00:00"/>
    <n v="15"/>
    <x v="2"/>
    <x v="0"/>
    <s v="🚺"/>
    <x v="1"/>
    <d v="2006-04-28T00:00:00"/>
    <n v="9"/>
    <x v="5"/>
    <x v="0"/>
    <s v="🚹"/>
    <n v="2"/>
    <x v="0"/>
    <x v="0"/>
    <s v="No aplica"/>
    <s v="Pasta base"/>
    <x v="1"/>
    <x v="0"/>
    <s v="Cerrado"/>
    <s v="16"/>
  </r>
  <r>
    <n v="574"/>
    <x v="538"/>
    <x v="538"/>
    <x v="538"/>
    <x v="6"/>
    <x v="154"/>
    <x v="0"/>
    <x v="3"/>
    <s v="-31,4148488101991, -64,1793406489438"/>
    <d v="1988-05-05T00:00:00"/>
    <n v="26"/>
    <x v="3"/>
    <x v="1"/>
    <s v="🚹"/>
    <x v="3"/>
    <d v="2001-12-05T00:00:00"/>
    <n v="13"/>
    <x v="5"/>
    <x v="1"/>
    <s v="🚺"/>
    <n v="1"/>
    <x v="0"/>
    <x v="0"/>
    <s v="No aplica"/>
    <s v="Ropa de marca"/>
    <x v="1"/>
    <x v="0"/>
    <s v="Cerrado"/>
    <s v="194"/>
  </r>
  <r>
    <n v="576"/>
    <x v="539"/>
    <x v="539"/>
    <x v="539"/>
    <x v="1"/>
    <x v="470"/>
    <x v="3"/>
    <x v="5"/>
    <s v="-31,3477902896523, -64,2644406169297"/>
    <d v="1970-05-05T00:00:00"/>
    <n v="45"/>
    <x v="6"/>
    <x v="1"/>
    <s v="🚹"/>
    <x v="3"/>
    <d v="1957-10-24T00:00:00"/>
    <n v="58"/>
    <x v="2"/>
    <x v="1"/>
    <s v="🚺"/>
    <n v="3"/>
    <x v="0"/>
    <x v="0"/>
    <s v="No aplica"/>
    <s v="Evasión fiscal"/>
    <x v="0"/>
    <x v="1"/>
    <s v="Cerrado"/>
    <s v="47"/>
  </r>
  <r>
    <n v="181"/>
    <x v="540"/>
    <x v="540"/>
    <x v="540"/>
    <x v="5"/>
    <x v="471"/>
    <x v="10"/>
    <x v="10"/>
    <s v="-31,4285567311661, -64,1853198281007"/>
    <d v="1955-04-19T00:00:00"/>
    <n v="65"/>
    <x v="4"/>
    <x v="1"/>
    <s v="🚹"/>
    <x v="3"/>
    <d v="2001-07-05T00:00:00"/>
    <n v="19"/>
    <x v="3"/>
    <x v="1"/>
    <s v="🚺"/>
    <n v="3"/>
    <x v="1"/>
    <x v="0"/>
    <s v="Por vínculo"/>
    <s v="No aplica"/>
    <x v="0"/>
    <x v="1"/>
    <s v="En investigación"/>
    <s v="No aplica"/>
  </r>
  <r>
    <n v="962"/>
    <x v="541"/>
    <x v="541"/>
    <x v="541"/>
    <x v="0"/>
    <x v="288"/>
    <x v="9"/>
    <x v="2"/>
    <s v="-31,334500143441, -64,2460773260564"/>
    <d v="1980-01-16T00:00:00"/>
    <n v="41"/>
    <x v="6"/>
    <x v="0"/>
    <s v="🚺"/>
    <x v="3"/>
    <d v="1956-10-11T00:00:00"/>
    <n v="64"/>
    <x v="2"/>
    <x v="1"/>
    <s v="🚺"/>
    <n v="1"/>
    <x v="1"/>
    <x v="0"/>
    <s v="No aplica"/>
    <s v="Cuentas falsas"/>
    <x v="0"/>
    <x v="0"/>
    <s v="Abierto"/>
    <s v="No aplica"/>
  </r>
  <r>
    <n v="578"/>
    <x v="542"/>
    <x v="542"/>
    <x v="542"/>
    <x v="0"/>
    <x v="472"/>
    <x v="1"/>
    <x v="3"/>
    <s v="-31,4148488101991, -64,1793406489438"/>
    <d v="1998-04-22T00:00:00"/>
    <n v="18"/>
    <x v="1"/>
    <x v="0"/>
    <s v="🚺"/>
    <x v="1"/>
    <d v="1985-11-08T00:00:00"/>
    <n v="30"/>
    <x v="6"/>
    <x v="0"/>
    <s v="🚹"/>
    <n v="2"/>
    <x v="0"/>
    <x v="0"/>
    <s v="Por vínculo"/>
    <s v="No aplica"/>
    <x v="0"/>
    <x v="0"/>
    <s v="En investigación"/>
    <s v="76"/>
  </r>
  <r>
    <n v="580"/>
    <x v="438"/>
    <x v="438"/>
    <x v="438"/>
    <x v="0"/>
    <x v="372"/>
    <x v="5"/>
    <x v="4"/>
    <s v="-31,3759272890294, -64,2284587792478"/>
    <d v="1992-12-04T00:00:00"/>
    <n v="26"/>
    <x v="3"/>
    <x v="0"/>
    <s v="🚺"/>
    <x v="2"/>
    <d v="1941-11-09T00:00:00"/>
    <n v="78"/>
    <x v="0"/>
    <x v="0"/>
    <s v="🚹"/>
    <n v="1"/>
    <x v="0"/>
    <x v="2"/>
    <s v="No aplica"/>
    <s v="Billetera con $15,000 ARG"/>
    <x v="0"/>
    <x v="1"/>
    <s v="Cerrado"/>
    <s v="48"/>
  </r>
  <r>
    <n v="763"/>
    <x v="543"/>
    <x v="543"/>
    <x v="543"/>
    <x v="4"/>
    <x v="473"/>
    <x v="7"/>
    <x v="1"/>
    <s v="-31,4129883640337, -64,1681120522587"/>
    <d v="2004-05-20T00:00:00"/>
    <n v="16"/>
    <x v="2"/>
    <x v="1"/>
    <s v="🚹"/>
    <x v="3"/>
    <d v="1968-12-26T00:00:00"/>
    <n v="52"/>
    <x v="4"/>
    <x v="0"/>
    <s v="🚹"/>
    <n v="2"/>
    <x v="1"/>
    <x v="0"/>
    <s v="Alevosía"/>
    <s v="No aplica"/>
    <x v="1"/>
    <x v="1"/>
    <s v="Abierto"/>
    <s v="No aplica"/>
  </r>
  <r>
    <n v="584"/>
    <x v="544"/>
    <x v="544"/>
    <x v="544"/>
    <x v="1"/>
    <x v="474"/>
    <x v="4"/>
    <x v="5"/>
    <s v="-31,3477902896523, -64,2644406169297"/>
    <d v="2000-06-16T00:00:00"/>
    <n v="21"/>
    <x v="1"/>
    <x v="1"/>
    <s v="🚹"/>
    <x v="4"/>
    <d v="1961-01-05T00:00:00"/>
    <n v="60"/>
    <x v="2"/>
    <x v="0"/>
    <s v="🚹"/>
    <n v="2"/>
    <x v="0"/>
    <x v="0"/>
    <s v="No aplica"/>
    <s v="Cuentas falsas"/>
    <x v="1"/>
    <x v="1"/>
    <s v="En investigación"/>
    <s v="102"/>
  </r>
  <r>
    <n v="1000"/>
    <x v="545"/>
    <x v="545"/>
    <x v="545"/>
    <x v="3"/>
    <x v="475"/>
    <x v="8"/>
    <x v="5"/>
    <s v="-31,3477902896523, -64,2644406169297"/>
    <d v="1962-11-10T00:00:00"/>
    <n v="58"/>
    <x v="5"/>
    <x v="1"/>
    <s v="🚹"/>
    <x v="4"/>
    <d v="2002-07-25T00:00:00"/>
    <n v="18"/>
    <x v="3"/>
    <x v="0"/>
    <s v="🚹"/>
    <n v="1"/>
    <x v="1"/>
    <x v="0"/>
    <s v="No aplica"/>
    <s v="No aplica"/>
    <x v="0"/>
    <x v="0"/>
    <s v="Abierto"/>
    <s v="No aplica"/>
  </r>
  <r>
    <n v="585"/>
    <x v="546"/>
    <x v="546"/>
    <x v="546"/>
    <x v="3"/>
    <x v="476"/>
    <x v="2"/>
    <x v="7"/>
    <s v="-31,4015892433235, -64,160442876477"/>
    <d v="1978-01-08T00:00:00"/>
    <n v="42"/>
    <x v="6"/>
    <x v="0"/>
    <s v="🚺"/>
    <x v="3"/>
    <d v="1978-06-20T00:00:00"/>
    <n v="41"/>
    <x v="1"/>
    <x v="0"/>
    <s v="🚹"/>
    <n v="1"/>
    <x v="0"/>
    <x v="0"/>
    <s v="No aplica"/>
    <s v="No aplica"/>
    <x v="0"/>
    <x v="0"/>
    <s v="En investigación"/>
    <s v="288"/>
  </r>
  <r>
    <n v="120"/>
    <x v="547"/>
    <x v="547"/>
    <x v="547"/>
    <x v="1"/>
    <x v="477"/>
    <x v="7"/>
    <x v="9"/>
    <s v="-31,4076397196409, -64,2020170430678"/>
    <d v="1986-08-24T00:00:00"/>
    <n v="34"/>
    <x v="3"/>
    <x v="1"/>
    <s v="🚹"/>
    <x v="4"/>
    <d v="1956-03-15T00:00:00"/>
    <n v="65"/>
    <x v="0"/>
    <x v="1"/>
    <s v="🚺"/>
    <n v="1"/>
    <x v="1"/>
    <x v="0"/>
    <s v="No aplica"/>
    <s v="No aplica"/>
    <x v="0"/>
    <x v="1"/>
    <s v="En investigación"/>
    <s v="No aplica"/>
  </r>
  <r>
    <n v="589"/>
    <x v="548"/>
    <x v="548"/>
    <x v="548"/>
    <x v="5"/>
    <x v="478"/>
    <x v="5"/>
    <x v="5"/>
    <s v="-31,3477902896523, -64,2644406169297"/>
    <d v="1992-03-24T00:00:00"/>
    <n v="29"/>
    <x v="3"/>
    <x v="0"/>
    <s v="🚺"/>
    <x v="0"/>
    <d v="1940-05-25T00:00:00"/>
    <n v="81"/>
    <x v="0"/>
    <x v="1"/>
    <s v="🚺"/>
    <n v="2"/>
    <x v="0"/>
    <x v="0"/>
    <s v="No aplica"/>
    <s v="Lavado de dinero"/>
    <x v="0"/>
    <x v="0"/>
    <s v="Abierto"/>
    <s v="33"/>
  </r>
  <r>
    <n v="591"/>
    <x v="549"/>
    <x v="549"/>
    <x v="549"/>
    <x v="1"/>
    <x v="371"/>
    <x v="6"/>
    <x v="8"/>
    <s v="-31,423018915313, -64,1493562190664"/>
    <d v="1951-09-16T00:00:00"/>
    <n v="71"/>
    <x v="4"/>
    <x v="1"/>
    <s v="🚹"/>
    <x v="4"/>
    <d v="1983-09-18T00:00:00"/>
    <n v="39"/>
    <x v="1"/>
    <x v="0"/>
    <s v="🚹"/>
    <n v="1"/>
    <x v="0"/>
    <x v="0"/>
    <s v="No aplica"/>
    <s v="Bicicleta"/>
    <x v="0"/>
    <x v="0"/>
    <s v="Abierto"/>
    <s v="240"/>
  </r>
  <r>
    <n v="592"/>
    <x v="206"/>
    <x v="206"/>
    <x v="206"/>
    <x v="2"/>
    <x v="55"/>
    <x v="7"/>
    <x v="2"/>
    <s v="-31,334500143441, -64,2460773260564"/>
    <d v="1973-05-27T00:00:00"/>
    <n v="44"/>
    <x v="6"/>
    <x v="0"/>
    <s v="🚺"/>
    <x v="2"/>
    <d v="2014-09-09T00:00:00"/>
    <n v="2"/>
    <x v="5"/>
    <x v="0"/>
    <s v="🚹"/>
    <n v="2"/>
    <x v="0"/>
    <x v="0"/>
    <s v="No aplica"/>
    <s v="No aplica"/>
    <x v="1"/>
    <x v="0"/>
    <s v="Cerrado"/>
    <s v="253"/>
  </r>
  <r>
    <n v="596"/>
    <x v="550"/>
    <x v="550"/>
    <x v="550"/>
    <x v="1"/>
    <x v="131"/>
    <x v="4"/>
    <x v="1"/>
    <s v="-31,4129883640337, -64,1681120522587"/>
    <d v="1952-02-05T00:00:00"/>
    <n v="65"/>
    <x v="4"/>
    <x v="0"/>
    <s v="🚺"/>
    <x v="2"/>
    <d v="1949-06-15T00:00:00"/>
    <n v="68"/>
    <x v="0"/>
    <x v="0"/>
    <s v="🚹"/>
    <n v="1"/>
    <x v="0"/>
    <x v="0"/>
    <s v="No aplica"/>
    <s v="Ropa de marca"/>
    <x v="1"/>
    <x v="1"/>
    <s v="Cerrado"/>
    <s v="32"/>
  </r>
  <r>
    <n v="562"/>
    <x v="551"/>
    <x v="551"/>
    <x v="551"/>
    <x v="3"/>
    <x v="100"/>
    <x v="6"/>
    <x v="2"/>
    <s v="-31,334500143441, -64,2460773260564"/>
    <d v="2002-03-16T00:00:00"/>
    <n v="19"/>
    <x v="1"/>
    <x v="0"/>
    <s v="🚺"/>
    <x v="2"/>
    <d v="1964-05-11T00:00:00"/>
    <n v="56"/>
    <x v="2"/>
    <x v="1"/>
    <s v="🚺"/>
    <n v="1"/>
    <x v="1"/>
    <x v="0"/>
    <s v="No aplica"/>
    <s v="Contrato fraudulento"/>
    <x v="0"/>
    <x v="0"/>
    <s v="Cerrado"/>
    <s v="No aplica"/>
  </r>
  <r>
    <n v="399"/>
    <x v="552"/>
    <x v="552"/>
    <x v="552"/>
    <x v="4"/>
    <x v="479"/>
    <x v="6"/>
    <x v="9"/>
    <s v="-31,4076397196409, -64,2020170430678"/>
    <d v="1990-08-04T00:00:00"/>
    <n v="30"/>
    <x v="3"/>
    <x v="0"/>
    <s v="🚺"/>
    <x v="0"/>
    <d v="1966-04-08T00:00:00"/>
    <n v="55"/>
    <x v="4"/>
    <x v="1"/>
    <s v="🚺"/>
    <n v="2"/>
    <x v="1"/>
    <x v="0"/>
    <s v="No aplica"/>
    <s v="Evasión fiscal"/>
    <x v="1"/>
    <x v="1"/>
    <s v="Abierto"/>
    <s v="No aplica"/>
  </r>
  <r>
    <n v="597"/>
    <x v="553"/>
    <x v="553"/>
    <x v="553"/>
    <x v="1"/>
    <x v="480"/>
    <x v="1"/>
    <x v="1"/>
    <s v="-31,4129883640337, -64,1681120522587"/>
    <d v="2002-07-03T00:00:00"/>
    <n v="16"/>
    <x v="2"/>
    <x v="0"/>
    <s v="🚺"/>
    <x v="4"/>
    <d v="2013-09-16T00:00:00"/>
    <n v="4"/>
    <x v="5"/>
    <x v="0"/>
    <s v="🚹"/>
    <n v="3"/>
    <x v="0"/>
    <x v="3"/>
    <s v="No aplica"/>
    <s v="Auto modelo XXX, patente XXX XXX"/>
    <x v="1"/>
    <x v="0"/>
    <s v="Cerrado"/>
    <s v="183"/>
  </r>
  <r>
    <n v="638"/>
    <x v="554"/>
    <x v="554"/>
    <x v="554"/>
    <x v="6"/>
    <x v="481"/>
    <x v="6"/>
    <x v="1"/>
    <s v="-31,4129883640337, -64,1681120522587"/>
    <d v="1966-05-09T00:00:00"/>
    <n v="54"/>
    <x v="0"/>
    <x v="0"/>
    <s v="🚺"/>
    <x v="1"/>
    <d v="1969-10-07T00:00:00"/>
    <n v="51"/>
    <x v="4"/>
    <x v="0"/>
    <s v="🚹"/>
    <n v="1"/>
    <x v="1"/>
    <x v="0"/>
    <s v="No aplica"/>
    <s v="Dinero público desviado"/>
    <x v="1"/>
    <x v="1"/>
    <s v="Abierto"/>
    <s v="No aplica"/>
  </r>
  <r>
    <n v="599"/>
    <x v="555"/>
    <x v="555"/>
    <x v="555"/>
    <x v="4"/>
    <x v="122"/>
    <x v="4"/>
    <x v="6"/>
    <s v="-31,3909520937826, -64,1836424491715"/>
    <d v="2003-08-01T00:00:00"/>
    <n v="16"/>
    <x v="2"/>
    <x v="0"/>
    <s v="🚺"/>
    <x v="0"/>
    <d v="2012-06-05T00:00:00"/>
    <n v="7"/>
    <x v="5"/>
    <x v="0"/>
    <s v="🚹"/>
    <n v="1"/>
    <x v="0"/>
    <x v="0"/>
    <s v="Por vínculo"/>
    <s v="No aplica"/>
    <x v="1"/>
    <x v="0"/>
    <s v="Abierto"/>
    <s v="198"/>
  </r>
  <r>
    <n v="747"/>
    <x v="302"/>
    <x v="302"/>
    <x v="302"/>
    <x v="1"/>
    <x v="482"/>
    <x v="9"/>
    <x v="3"/>
    <s v="-31,4148488101991, -64,1793406489438"/>
    <d v="2000-09-09T00:00:00"/>
    <n v="20"/>
    <x v="1"/>
    <x v="1"/>
    <s v="🚹"/>
    <x v="3"/>
    <d v="1995-11-25T00:00:00"/>
    <n v="25"/>
    <x v="3"/>
    <x v="1"/>
    <s v="🚺"/>
    <n v="2"/>
    <x v="1"/>
    <x v="0"/>
    <s v="Por vínculo"/>
    <s v="No aplica"/>
    <x v="0"/>
    <x v="1"/>
    <s v="Cerrado"/>
    <s v="No aplica"/>
  </r>
  <r>
    <n v="774"/>
    <x v="556"/>
    <x v="556"/>
    <x v="556"/>
    <x v="6"/>
    <x v="483"/>
    <x v="7"/>
    <x v="2"/>
    <s v="-31,334500143441, -64,2460773260564"/>
    <d v="1966-06-11T00:00:00"/>
    <n v="54"/>
    <x v="0"/>
    <x v="1"/>
    <s v="🚹"/>
    <x v="1"/>
    <d v="1975-03-15T00:00:00"/>
    <n v="46"/>
    <x v="4"/>
    <x v="0"/>
    <s v="🚹"/>
    <n v="2"/>
    <x v="1"/>
    <x v="0"/>
    <s v="No aplica"/>
    <s v="5kg de cocaína"/>
    <x v="0"/>
    <x v="1"/>
    <s v="Cerrado"/>
    <s v="No aplica"/>
  </r>
  <r>
    <n v="375"/>
    <x v="557"/>
    <x v="557"/>
    <x v="557"/>
    <x v="4"/>
    <x v="456"/>
    <x v="10"/>
    <x v="1"/>
    <s v="-31,4129883640337, -64,1681120522587"/>
    <d v="1973-05-23T00:00:00"/>
    <n v="47"/>
    <x v="0"/>
    <x v="1"/>
    <s v="🚹"/>
    <x v="3"/>
    <d v="1946-07-12T00:00:00"/>
    <n v="74"/>
    <x v="0"/>
    <x v="0"/>
    <s v="🚹"/>
    <n v="1"/>
    <x v="1"/>
    <x v="0"/>
    <s v="No aplica"/>
    <s v="Evasión fiscal"/>
    <x v="1"/>
    <x v="1"/>
    <s v="Cerrado"/>
    <s v="No aplica"/>
  </r>
  <r>
    <n v="601"/>
    <x v="558"/>
    <x v="558"/>
    <x v="558"/>
    <x v="3"/>
    <x v="484"/>
    <x v="0"/>
    <x v="5"/>
    <s v="-31,3477902896523, -64,2644406169297"/>
    <d v="1994-03-01T00:00:00"/>
    <n v="30"/>
    <x v="3"/>
    <x v="1"/>
    <s v="🚹"/>
    <x v="2"/>
    <d v="1943-03-03T00:00:00"/>
    <n v="81"/>
    <x v="0"/>
    <x v="0"/>
    <s v="🚹"/>
    <n v="2"/>
    <x v="0"/>
    <x v="0"/>
    <s v="No aplica"/>
    <s v="Lavado de dinero"/>
    <x v="1"/>
    <x v="0"/>
    <s v="Abierto"/>
    <s v="21"/>
  </r>
  <r>
    <n v="55"/>
    <x v="559"/>
    <x v="559"/>
    <x v="559"/>
    <x v="3"/>
    <x v="485"/>
    <x v="3"/>
    <x v="5"/>
    <s v="-31,3477902896523, -64,2644406169297"/>
    <d v="1970-05-02T00:00:00"/>
    <n v="51"/>
    <x v="0"/>
    <x v="0"/>
    <s v="🚺"/>
    <x v="4"/>
    <d v="1948-05-22T00:00:00"/>
    <n v="73"/>
    <x v="0"/>
    <x v="0"/>
    <s v="🚹"/>
    <n v="2"/>
    <x v="1"/>
    <x v="0"/>
    <s v="No aplica"/>
    <s v="Dinero público desviado"/>
    <x v="1"/>
    <x v="1"/>
    <s v="Abierto"/>
    <s v="No aplica"/>
  </r>
  <r>
    <n v="602"/>
    <x v="281"/>
    <x v="281"/>
    <x v="281"/>
    <x v="0"/>
    <x v="61"/>
    <x v="4"/>
    <x v="4"/>
    <s v="-31,3759272890294, -64,2284587792478"/>
    <d v="1999-11-19T00:00:00"/>
    <n v="18"/>
    <x v="1"/>
    <x v="1"/>
    <s v="🚹"/>
    <x v="2"/>
    <d v="1972-11-27T00:00:00"/>
    <n v="45"/>
    <x v="1"/>
    <x v="1"/>
    <s v="🚺"/>
    <n v="3"/>
    <x v="0"/>
    <x v="0"/>
    <s v="No aplica"/>
    <s v="Lavado de dinero"/>
    <x v="1"/>
    <x v="0"/>
    <s v="Cerrado"/>
    <s v="221"/>
  </r>
  <r>
    <n v="548"/>
    <x v="126"/>
    <x v="126"/>
    <x v="126"/>
    <x v="1"/>
    <x v="486"/>
    <x v="0"/>
    <x v="3"/>
    <s v="-31,4148488101991, -64,1793406489438"/>
    <d v="1960-02-24T00:00:00"/>
    <n v="61"/>
    <x v="5"/>
    <x v="0"/>
    <s v="🚺"/>
    <x v="0"/>
    <d v="1987-03-25T00:00:00"/>
    <n v="34"/>
    <x v="6"/>
    <x v="0"/>
    <s v="🚹"/>
    <n v="2"/>
    <x v="1"/>
    <x v="0"/>
    <s v="No aplica"/>
    <s v="Contrato fraudulento"/>
    <x v="1"/>
    <x v="0"/>
    <s v="Cerrado"/>
    <s v="No aplica"/>
  </r>
  <r>
    <n v="607"/>
    <x v="560"/>
    <x v="560"/>
    <x v="560"/>
    <x v="5"/>
    <x v="236"/>
    <x v="10"/>
    <x v="5"/>
    <s v="-31,3477902896523, -64,2644406169297"/>
    <d v="1988-11-06T00:00:00"/>
    <n v="31"/>
    <x v="3"/>
    <x v="0"/>
    <s v="🚺"/>
    <x v="4"/>
    <d v="1952-01-02T00:00:00"/>
    <n v="67"/>
    <x v="0"/>
    <x v="0"/>
    <s v="🚹"/>
    <n v="1"/>
    <x v="0"/>
    <x v="0"/>
    <s v="No aplica"/>
    <s v="Cartera con documentación"/>
    <x v="1"/>
    <x v="0"/>
    <s v="Abierto"/>
    <s v="256"/>
  </r>
  <r>
    <n v="608"/>
    <x v="561"/>
    <x v="561"/>
    <x v="561"/>
    <x v="0"/>
    <x v="387"/>
    <x v="9"/>
    <x v="4"/>
    <s v="-31,3759272890294, -64,2284587792478"/>
    <d v="1985-08-21T00:00:00"/>
    <n v="33"/>
    <x v="3"/>
    <x v="1"/>
    <s v="🚹"/>
    <x v="4"/>
    <d v="1941-08-25T00:00:00"/>
    <n v="77"/>
    <x v="0"/>
    <x v="0"/>
    <s v="🚹"/>
    <n v="1"/>
    <x v="0"/>
    <x v="3"/>
    <s v="No aplica"/>
    <s v="Laptop marca HP"/>
    <x v="1"/>
    <x v="0"/>
    <s v="Cerrado"/>
    <s v="11"/>
  </r>
  <r>
    <n v="931"/>
    <x v="294"/>
    <x v="294"/>
    <x v="294"/>
    <x v="2"/>
    <x v="487"/>
    <x v="3"/>
    <x v="8"/>
    <s v="-31,423018915313, -64,1493562190664"/>
    <d v="1998-06-08T00:00:00"/>
    <n v="22"/>
    <x v="1"/>
    <x v="0"/>
    <s v="🚺"/>
    <x v="4"/>
    <d v="1970-09-27T00:00:00"/>
    <n v="50"/>
    <x v="4"/>
    <x v="1"/>
    <s v="🚺"/>
    <n v="1"/>
    <x v="1"/>
    <x v="4"/>
    <s v="Por vínculo"/>
    <s v="No aplica"/>
    <x v="1"/>
    <x v="0"/>
    <s v="En investigación"/>
    <s v="No aplica"/>
  </r>
  <r>
    <n v="573"/>
    <x v="562"/>
    <x v="562"/>
    <x v="562"/>
    <x v="0"/>
    <x v="83"/>
    <x v="1"/>
    <x v="2"/>
    <s v="-31,334500143441, -64,2460773260564"/>
    <d v="1979-03-17T00:00:00"/>
    <n v="42"/>
    <x v="6"/>
    <x v="1"/>
    <s v="🚹"/>
    <x v="1"/>
    <d v="2010-07-25T00:00:00"/>
    <n v="10"/>
    <x v="5"/>
    <x v="1"/>
    <s v="🚺"/>
    <n v="2"/>
    <x v="1"/>
    <x v="3"/>
    <s v="No aplica"/>
    <s v="Auto modelo XXX, patente XXX XXX"/>
    <x v="1"/>
    <x v="0"/>
    <s v="Cerrado"/>
    <s v="No aplica"/>
  </r>
  <r>
    <n v="612"/>
    <x v="563"/>
    <x v="563"/>
    <x v="563"/>
    <x v="3"/>
    <x v="244"/>
    <x v="7"/>
    <x v="6"/>
    <s v="-31,3909520937826, -64,1836424491715"/>
    <d v="1980-11-06T00:00:00"/>
    <n v="38"/>
    <x v="6"/>
    <x v="0"/>
    <s v="🚺"/>
    <x v="3"/>
    <d v="1987-09-02T00:00:00"/>
    <n v="31"/>
    <x v="6"/>
    <x v="0"/>
    <s v="🚹"/>
    <n v="3"/>
    <x v="0"/>
    <x v="3"/>
    <s v="No aplica"/>
    <s v="Laptop marca HP"/>
    <x v="1"/>
    <x v="1"/>
    <s v="Cerrado"/>
    <s v="53"/>
  </r>
  <r>
    <n v="410"/>
    <x v="564"/>
    <x v="564"/>
    <x v="564"/>
    <x v="6"/>
    <x v="122"/>
    <x v="7"/>
    <x v="10"/>
    <s v="-31,4285567311661, -64,1853198281007"/>
    <d v="1969-01-23T00:00:00"/>
    <n v="52"/>
    <x v="0"/>
    <x v="0"/>
    <s v="🚺"/>
    <x v="0"/>
    <d v="1993-10-12T00:00:00"/>
    <n v="27"/>
    <x v="6"/>
    <x v="0"/>
    <s v="🚹"/>
    <n v="3"/>
    <x v="1"/>
    <x v="0"/>
    <s v="No aplica"/>
    <s v="Vidrios de comercio rotos"/>
    <x v="1"/>
    <x v="0"/>
    <s v="Abierto"/>
    <s v="No aplica"/>
  </r>
  <r>
    <n v="950"/>
    <x v="565"/>
    <x v="565"/>
    <x v="565"/>
    <x v="4"/>
    <x v="488"/>
    <x v="5"/>
    <x v="9"/>
    <s v="-31,4076397196409, -64,2020170430678"/>
    <d v="2002-01-17T00:00:00"/>
    <n v="19"/>
    <x v="1"/>
    <x v="0"/>
    <s v="🚺"/>
    <x v="1"/>
    <d v="2001-03-07T00:00:00"/>
    <n v="20"/>
    <x v="3"/>
    <x v="1"/>
    <s v="🚺"/>
    <n v="3"/>
    <x v="1"/>
    <x v="0"/>
    <s v="No aplica"/>
    <s v="Grafitis en edificios públicos"/>
    <x v="1"/>
    <x v="1"/>
    <s v="Cerrado"/>
    <s v="No aplica"/>
  </r>
  <r>
    <n v="723"/>
    <x v="566"/>
    <x v="566"/>
    <x v="566"/>
    <x v="1"/>
    <x v="489"/>
    <x v="3"/>
    <x v="7"/>
    <s v="-31,4015892433235, -64,160442876477"/>
    <d v="1967-07-06T00:00:00"/>
    <n v="53"/>
    <x v="0"/>
    <x v="1"/>
    <s v="🚹"/>
    <x v="1"/>
    <d v="1966-01-23T00:00:00"/>
    <n v="55"/>
    <x v="4"/>
    <x v="0"/>
    <s v="🚹"/>
    <n v="2"/>
    <x v="1"/>
    <x v="0"/>
    <s v="No aplica"/>
    <s v="No aplica"/>
    <x v="1"/>
    <x v="0"/>
    <s v="En investigación"/>
    <s v="No aplica"/>
  </r>
  <r>
    <n v="613"/>
    <x v="567"/>
    <x v="567"/>
    <x v="567"/>
    <x v="6"/>
    <x v="490"/>
    <x v="6"/>
    <x v="1"/>
    <s v="-31,4129883640337, -64,1681120522587"/>
    <d v="1993-03-28T00:00:00"/>
    <n v="29"/>
    <x v="3"/>
    <x v="1"/>
    <s v="🚹"/>
    <x v="1"/>
    <d v="2001-03-10T00:00:00"/>
    <n v="21"/>
    <x v="3"/>
    <x v="0"/>
    <s v="🚹"/>
    <n v="3"/>
    <x v="0"/>
    <x v="2"/>
    <s v="Alevosía"/>
    <s v="No aplica"/>
    <x v="0"/>
    <x v="0"/>
    <s v="Abierto"/>
    <s v="230"/>
  </r>
  <r>
    <n v="736"/>
    <x v="357"/>
    <x v="357"/>
    <x v="357"/>
    <x v="5"/>
    <x v="491"/>
    <x v="3"/>
    <x v="6"/>
    <s v="-31,3909520937826, -64,1836424491715"/>
    <d v="2000-01-28T00:00:00"/>
    <n v="21"/>
    <x v="1"/>
    <x v="1"/>
    <s v="🚹"/>
    <x v="4"/>
    <d v="1999-09-09T00:00:00"/>
    <n v="21"/>
    <x v="3"/>
    <x v="0"/>
    <s v="🚹"/>
    <n v="1"/>
    <x v="1"/>
    <x v="0"/>
    <s v="No aplica"/>
    <s v="Cartera con documentación"/>
    <x v="1"/>
    <x v="0"/>
    <s v="Abierto"/>
    <s v="No aplica"/>
  </r>
  <r>
    <n v="617"/>
    <x v="568"/>
    <x v="568"/>
    <x v="568"/>
    <x v="6"/>
    <x v="119"/>
    <x v="6"/>
    <x v="10"/>
    <s v="-31,4285567311661, -64,1853198281007"/>
    <d v="1988-07-26T00:00:00"/>
    <n v="34"/>
    <x v="3"/>
    <x v="1"/>
    <s v="🚹"/>
    <x v="4"/>
    <d v="1998-07-06T00:00:00"/>
    <n v="24"/>
    <x v="3"/>
    <x v="0"/>
    <s v="🚹"/>
    <n v="3"/>
    <x v="0"/>
    <x v="1"/>
    <s v="Alevosía"/>
    <s v="No aplica"/>
    <x v="1"/>
    <x v="0"/>
    <s v="Cerrado"/>
    <s v="111"/>
  </r>
  <r>
    <n v="581"/>
    <x v="14"/>
    <x v="14"/>
    <x v="14"/>
    <x v="4"/>
    <x v="433"/>
    <x v="9"/>
    <x v="3"/>
    <s v="-31,4148488101991, -64,1793406489438"/>
    <d v="1992-05-04T00:00:00"/>
    <n v="29"/>
    <x v="3"/>
    <x v="0"/>
    <s v="🚺"/>
    <x v="2"/>
    <d v="1941-08-16T00:00:00"/>
    <n v="79"/>
    <x v="0"/>
    <x v="1"/>
    <s v="🚺"/>
    <n v="2"/>
    <x v="1"/>
    <x v="0"/>
    <s v="No aplica"/>
    <s v="Bicicleta"/>
    <x v="1"/>
    <x v="1"/>
    <s v="Abierto"/>
    <s v="No aplica"/>
  </r>
  <r>
    <n v="952"/>
    <x v="14"/>
    <x v="14"/>
    <x v="14"/>
    <x v="4"/>
    <x v="492"/>
    <x v="9"/>
    <x v="1"/>
    <s v="-31,4129883640337, -64,1681120522587"/>
    <d v="1980-05-27T00:00:00"/>
    <n v="41"/>
    <x v="6"/>
    <x v="0"/>
    <s v="🚺"/>
    <x v="4"/>
    <d v="1983-11-15T00:00:00"/>
    <n v="37"/>
    <x v="1"/>
    <x v="0"/>
    <s v="🚹"/>
    <n v="1"/>
    <x v="1"/>
    <x v="0"/>
    <s v="No aplica"/>
    <s v="Cuentas falsas"/>
    <x v="1"/>
    <x v="0"/>
    <s v="Abierto"/>
    <s v="No aplica"/>
  </r>
  <r>
    <n v="804"/>
    <x v="569"/>
    <x v="569"/>
    <x v="569"/>
    <x v="0"/>
    <x v="493"/>
    <x v="10"/>
    <x v="3"/>
    <s v="-31,4148488101991, -64,1793406489438"/>
    <d v="1954-09-10T00:00:00"/>
    <n v="66"/>
    <x v="4"/>
    <x v="1"/>
    <s v="🚹"/>
    <x v="1"/>
    <d v="1990-08-28T00:00:00"/>
    <n v="30"/>
    <x v="6"/>
    <x v="0"/>
    <s v="🚹"/>
    <n v="1"/>
    <x v="1"/>
    <x v="0"/>
    <s v="No aplica"/>
    <s v="Grafitis en edificios públicos"/>
    <x v="1"/>
    <x v="0"/>
    <s v="Cerrado"/>
    <s v="No aplica"/>
  </r>
  <r>
    <n v="223"/>
    <x v="570"/>
    <x v="570"/>
    <x v="570"/>
    <x v="3"/>
    <x v="388"/>
    <x v="0"/>
    <x v="6"/>
    <s v="-31,3909520937826, -64,1836424491715"/>
    <d v="1977-10-25T00:00:00"/>
    <n v="43"/>
    <x v="6"/>
    <x v="1"/>
    <s v="🚹"/>
    <x v="3"/>
    <d v="2007-04-05T00:00:00"/>
    <n v="14"/>
    <x v="5"/>
    <x v="0"/>
    <s v="🚹"/>
    <n v="3"/>
    <x v="1"/>
    <x v="0"/>
    <s v="No aplica"/>
    <s v="5kg de cocaína"/>
    <x v="1"/>
    <x v="0"/>
    <s v="Abierto"/>
    <s v="No aplica"/>
  </r>
  <r>
    <n v="326"/>
    <x v="571"/>
    <x v="571"/>
    <x v="571"/>
    <x v="6"/>
    <x v="95"/>
    <x v="10"/>
    <x v="8"/>
    <s v="-31,423018915313, -64,1493562190664"/>
    <d v="1962-10-01T00:00:00"/>
    <n v="58"/>
    <x v="5"/>
    <x v="0"/>
    <s v="🚺"/>
    <x v="1"/>
    <d v="2012-10-05T00:00:00"/>
    <n v="8"/>
    <x v="5"/>
    <x v="0"/>
    <s v="🚹"/>
    <n v="2"/>
    <x v="1"/>
    <x v="3"/>
    <s v="Sin agravantes"/>
    <s v="No aplica"/>
    <x v="1"/>
    <x v="1"/>
    <s v="En investigación"/>
    <s v="No aplica"/>
  </r>
  <r>
    <n v="623"/>
    <x v="572"/>
    <x v="572"/>
    <x v="572"/>
    <x v="3"/>
    <x v="494"/>
    <x v="9"/>
    <x v="0"/>
    <s v="-31,4800162965848, -64,2094200976892"/>
    <d v="1975-08-07T00:00:00"/>
    <n v="40"/>
    <x v="6"/>
    <x v="0"/>
    <s v="🚺"/>
    <x v="0"/>
    <d v="1974-02-06T00:00:00"/>
    <n v="41"/>
    <x v="1"/>
    <x v="1"/>
    <s v="🚺"/>
    <n v="3"/>
    <x v="0"/>
    <x v="0"/>
    <s v="No aplica"/>
    <s v="Vidrios de comercio rotos"/>
    <x v="1"/>
    <x v="0"/>
    <s v="Cerrado"/>
    <s v="73"/>
  </r>
  <r>
    <n v="666"/>
    <x v="573"/>
    <x v="573"/>
    <x v="573"/>
    <x v="5"/>
    <x v="184"/>
    <x v="5"/>
    <x v="5"/>
    <s v="-31,3477902896523, -64,2644406169297"/>
    <d v="1951-07-05T00:00:00"/>
    <n v="70"/>
    <x v="4"/>
    <x v="0"/>
    <s v="🚺"/>
    <x v="2"/>
    <d v="1943-01-28T00:00:00"/>
    <n v="78"/>
    <x v="0"/>
    <x v="0"/>
    <s v="🚹"/>
    <n v="3"/>
    <x v="1"/>
    <x v="4"/>
    <s v="Con ensañamiento"/>
    <s v="No aplica"/>
    <x v="1"/>
    <x v="1"/>
    <s v="Cerrado"/>
    <s v="No aplica"/>
  </r>
  <r>
    <n v="572"/>
    <x v="574"/>
    <x v="574"/>
    <x v="574"/>
    <x v="2"/>
    <x v="495"/>
    <x v="6"/>
    <x v="10"/>
    <s v="-31,4285567311661, -64,1853198281007"/>
    <d v="1981-03-19T00:00:00"/>
    <n v="40"/>
    <x v="6"/>
    <x v="1"/>
    <s v="🚹"/>
    <x v="3"/>
    <d v="1959-07-11T00:00:00"/>
    <n v="62"/>
    <x v="2"/>
    <x v="0"/>
    <s v="🚹"/>
    <n v="1"/>
    <x v="1"/>
    <x v="3"/>
    <s v="Alevosía"/>
    <s v="No aplica"/>
    <x v="1"/>
    <x v="1"/>
    <s v="Cerrado"/>
    <s v="No aplica"/>
  </r>
  <r>
    <n v="521"/>
    <x v="575"/>
    <x v="575"/>
    <x v="575"/>
    <x v="5"/>
    <x v="496"/>
    <x v="0"/>
    <x v="8"/>
    <s v="-31,423018915313, -64,1493562190664"/>
    <d v="1976-10-10T00:00:00"/>
    <n v="44"/>
    <x v="6"/>
    <x v="0"/>
    <s v="🚺"/>
    <x v="4"/>
    <d v="2002-01-16T00:00:00"/>
    <n v="19"/>
    <x v="3"/>
    <x v="1"/>
    <s v="🚺"/>
    <n v="2"/>
    <x v="1"/>
    <x v="0"/>
    <s v="No aplica"/>
    <s v="Grafitis en edificios públicos"/>
    <x v="0"/>
    <x v="0"/>
    <s v="Cerrado"/>
    <s v="No aplica"/>
  </r>
  <r>
    <n v="504"/>
    <x v="576"/>
    <x v="576"/>
    <x v="576"/>
    <x v="2"/>
    <x v="497"/>
    <x v="9"/>
    <x v="3"/>
    <s v="-31,4148488101991, -64,1793406489438"/>
    <d v="1972-12-15T00:00:00"/>
    <n v="48"/>
    <x v="0"/>
    <x v="0"/>
    <s v="🚺"/>
    <x v="1"/>
    <d v="1977-11-28T00:00:00"/>
    <n v="43"/>
    <x v="1"/>
    <x v="1"/>
    <s v="🚺"/>
    <n v="1"/>
    <x v="1"/>
    <x v="0"/>
    <s v="No aplica"/>
    <s v="Estafa bancaria"/>
    <x v="0"/>
    <x v="1"/>
    <s v="Cerrado"/>
    <s v="No aplica"/>
  </r>
  <r>
    <n v="173"/>
    <x v="577"/>
    <x v="577"/>
    <x v="577"/>
    <x v="4"/>
    <x v="498"/>
    <x v="3"/>
    <x v="5"/>
    <s v="-31,3477902896523, -64,2644406169297"/>
    <d v="2006-10-22T00:00:00"/>
    <n v="14"/>
    <x v="2"/>
    <x v="1"/>
    <s v="🚹"/>
    <x v="1"/>
    <d v="1942-10-12T00:00:00"/>
    <n v="78"/>
    <x v="0"/>
    <x v="1"/>
    <s v="🚺"/>
    <n v="2"/>
    <x v="1"/>
    <x v="0"/>
    <s v="No aplica"/>
    <s v="No aplica"/>
    <x v="1"/>
    <x v="0"/>
    <s v="Cerrado"/>
    <s v="No aplica"/>
  </r>
  <r>
    <n v="147"/>
    <x v="578"/>
    <x v="578"/>
    <x v="578"/>
    <x v="3"/>
    <x v="499"/>
    <x v="2"/>
    <x v="0"/>
    <s v="-31,4800162965848, -64,2094200976892"/>
    <d v="2000-08-23T00:00:00"/>
    <n v="20"/>
    <x v="1"/>
    <x v="0"/>
    <s v="🚺"/>
    <x v="0"/>
    <d v="1956-08-12T00:00:00"/>
    <n v="64"/>
    <x v="2"/>
    <x v="1"/>
    <s v="🚺"/>
    <n v="2"/>
    <x v="1"/>
    <x v="0"/>
    <s v="No aplica"/>
    <s v="Grafitis en edificios públicos"/>
    <x v="1"/>
    <x v="1"/>
    <s v="Abierto"/>
    <s v="No aplica"/>
  </r>
  <r>
    <n v="319"/>
    <x v="579"/>
    <x v="579"/>
    <x v="579"/>
    <x v="5"/>
    <x v="500"/>
    <x v="6"/>
    <x v="11"/>
    <s v="-31,4506257494184, -64,1733054344705"/>
    <d v="2003-09-09T00:00:00"/>
    <n v="17"/>
    <x v="2"/>
    <x v="0"/>
    <s v="🚺"/>
    <x v="3"/>
    <d v="1942-01-16T00:00:00"/>
    <n v="79"/>
    <x v="0"/>
    <x v="1"/>
    <s v="🚺"/>
    <n v="1"/>
    <x v="1"/>
    <x v="4"/>
    <s v="Sin agravantes"/>
    <s v="No aplica"/>
    <x v="1"/>
    <x v="1"/>
    <s v="Cerrado"/>
    <s v="No aplica"/>
  </r>
  <r>
    <n v="367"/>
    <x v="579"/>
    <x v="579"/>
    <x v="579"/>
    <x v="5"/>
    <x v="26"/>
    <x v="9"/>
    <x v="10"/>
    <s v="-31,4285567311661, -64,1853198281007"/>
    <d v="2003-06-27T00:00:00"/>
    <n v="18"/>
    <x v="1"/>
    <x v="0"/>
    <s v="🚺"/>
    <x v="0"/>
    <d v="1948-06-15T00:00:00"/>
    <n v="73"/>
    <x v="0"/>
    <x v="0"/>
    <s v="🚹"/>
    <n v="3"/>
    <x v="1"/>
    <x v="3"/>
    <s v="No aplica"/>
    <s v="Celular, tarjetas bancarias"/>
    <x v="0"/>
    <x v="0"/>
    <s v="Cerrado"/>
    <s v="No aplica"/>
  </r>
  <r>
    <n v="627"/>
    <x v="580"/>
    <x v="580"/>
    <x v="580"/>
    <x v="5"/>
    <x v="501"/>
    <x v="2"/>
    <x v="4"/>
    <s v="-31,3759272890294, -64,2284587792478"/>
    <d v="1998-02-12T00:00:00"/>
    <n v="25"/>
    <x v="1"/>
    <x v="1"/>
    <s v="🚹"/>
    <x v="1"/>
    <d v="2001-07-13T00:00:00"/>
    <n v="21"/>
    <x v="3"/>
    <x v="0"/>
    <s v="🚹"/>
    <n v="3"/>
    <x v="0"/>
    <x v="0"/>
    <s v="No aplica"/>
    <s v="Contrato fraudulento"/>
    <x v="0"/>
    <x v="0"/>
    <s v="Cerrado"/>
    <s v="212"/>
  </r>
  <r>
    <n v="383"/>
    <x v="581"/>
    <x v="581"/>
    <x v="581"/>
    <x v="0"/>
    <x v="502"/>
    <x v="2"/>
    <x v="1"/>
    <s v="-31,4129883640337, -64,1681120522587"/>
    <d v="1989-07-16T00:00:00"/>
    <n v="32"/>
    <x v="3"/>
    <x v="1"/>
    <s v="🚹"/>
    <x v="0"/>
    <d v="1940-09-04T00:00:00"/>
    <n v="80"/>
    <x v="0"/>
    <x v="1"/>
    <s v="🚺"/>
    <n v="2"/>
    <x v="1"/>
    <x v="1"/>
    <s v="No aplica"/>
    <s v="Laptop marca HP"/>
    <x v="1"/>
    <x v="0"/>
    <s v="Cerrado"/>
    <s v="No aplica"/>
  </r>
  <r>
    <n v="425"/>
    <x v="582"/>
    <x v="582"/>
    <x v="582"/>
    <x v="4"/>
    <x v="503"/>
    <x v="3"/>
    <x v="2"/>
    <s v="-31,334500143441, -64,2460773260564"/>
    <d v="1989-11-10T00:00:00"/>
    <n v="31"/>
    <x v="3"/>
    <x v="0"/>
    <s v="🚺"/>
    <x v="1"/>
    <d v="1988-09-03T00:00:00"/>
    <n v="32"/>
    <x v="6"/>
    <x v="0"/>
    <s v="🚹"/>
    <n v="1"/>
    <x v="1"/>
    <x v="0"/>
    <s v="Con ensañamiento"/>
    <s v="No aplica"/>
    <x v="1"/>
    <x v="1"/>
    <s v="Cerrado"/>
    <s v="No aplica"/>
  </r>
  <r>
    <n v="80"/>
    <x v="583"/>
    <x v="583"/>
    <x v="583"/>
    <x v="5"/>
    <x v="504"/>
    <x v="11"/>
    <x v="7"/>
    <s v="-31,4015892433235, -64,160442876477"/>
    <d v="1963-11-10T00:00:00"/>
    <n v="57"/>
    <x v="5"/>
    <x v="0"/>
    <s v="🚺"/>
    <x v="2"/>
    <d v="2011-03-19T00:00:00"/>
    <n v="10"/>
    <x v="5"/>
    <x v="0"/>
    <s v="🚹"/>
    <n v="1"/>
    <x v="1"/>
    <x v="0"/>
    <s v="No aplica"/>
    <s v="Pasta base"/>
    <x v="1"/>
    <x v="1"/>
    <s v="Cerrado"/>
    <s v="No aplica"/>
  </r>
  <r>
    <n v="626"/>
    <x v="584"/>
    <x v="584"/>
    <x v="584"/>
    <x v="2"/>
    <x v="310"/>
    <x v="2"/>
    <x v="10"/>
    <s v="-31,4285567311661, -64,1853198281007"/>
    <d v="1980-11-25T00:00:00"/>
    <n v="40"/>
    <x v="6"/>
    <x v="1"/>
    <s v="🚹"/>
    <x v="3"/>
    <d v="2001-11-10T00:00:00"/>
    <n v="19"/>
    <x v="3"/>
    <x v="0"/>
    <s v="🚹"/>
    <n v="3"/>
    <x v="1"/>
    <x v="0"/>
    <s v="Con ensañamiento"/>
    <s v="No aplica"/>
    <x v="1"/>
    <x v="0"/>
    <s v="Cerrado"/>
    <s v="No aplica"/>
  </r>
  <r>
    <n v="630"/>
    <x v="585"/>
    <x v="585"/>
    <x v="585"/>
    <x v="2"/>
    <x v="101"/>
    <x v="0"/>
    <x v="3"/>
    <s v="-31,4148488101991, -64,1793406489438"/>
    <d v="2002-10-12T00:00:00"/>
    <n v="13"/>
    <x v="2"/>
    <x v="0"/>
    <s v="🚺"/>
    <x v="0"/>
    <d v="1945-10-08T00:00:00"/>
    <n v="70"/>
    <x v="0"/>
    <x v="0"/>
    <s v="🚹"/>
    <n v="2"/>
    <x v="0"/>
    <x v="0"/>
    <s v="No aplica"/>
    <s v="Cuentas falsas"/>
    <x v="1"/>
    <x v="0"/>
    <s v="Abierto"/>
    <s v="6"/>
  </r>
  <r>
    <n v="631"/>
    <x v="586"/>
    <x v="586"/>
    <x v="586"/>
    <x v="0"/>
    <x v="505"/>
    <x v="9"/>
    <x v="0"/>
    <s v="-31,4800162965848, -64,2094200976892"/>
    <d v="1996-10-05T00:00:00"/>
    <n v="28"/>
    <x v="3"/>
    <x v="1"/>
    <s v="🚹"/>
    <x v="1"/>
    <d v="1969-03-11T00:00:00"/>
    <n v="55"/>
    <x v="4"/>
    <x v="1"/>
    <s v="🚺"/>
    <n v="2"/>
    <x v="0"/>
    <x v="0"/>
    <s v="Sin agravantes"/>
    <s v="No aplica"/>
    <x v="1"/>
    <x v="0"/>
    <s v="Cerrado"/>
    <s v="102"/>
  </r>
  <r>
    <n v="19"/>
    <x v="587"/>
    <x v="587"/>
    <x v="587"/>
    <x v="2"/>
    <x v="506"/>
    <x v="2"/>
    <x v="4"/>
    <s v="-31,3759272890294, -64,2284587792478"/>
    <d v="1995-06-26T00:00:00"/>
    <n v="26"/>
    <x v="3"/>
    <x v="1"/>
    <s v="🚹"/>
    <x v="3"/>
    <d v="1979-07-23T00:00:00"/>
    <n v="42"/>
    <x v="1"/>
    <x v="0"/>
    <s v="🚹"/>
    <n v="2"/>
    <x v="1"/>
    <x v="1"/>
    <s v="Por vínculo"/>
    <s v="No aplica"/>
    <x v="1"/>
    <x v="1"/>
    <s v="En investigación"/>
    <s v="No aplica"/>
  </r>
  <r>
    <n v="874"/>
    <x v="588"/>
    <x v="588"/>
    <x v="588"/>
    <x v="0"/>
    <x v="507"/>
    <x v="5"/>
    <x v="0"/>
    <s v="-31,4800162965848, -64,2094200976892"/>
    <d v="1963-09-13T00:00:00"/>
    <n v="57"/>
    <x v="5"/>
    <x v="1"/>
    <s v="🚹"/>
    <x v="4"/>
    <d v="1967-11-02T00:00:00"/>
    <n v="53"/>
    <x v="4"/>
    <x v="1"/>
    <s v="🚺"/>
    <n v="1"/>
    <x v="1"/>
    <x v="2"/>
    <s v="Con ensañamiento"/>
    <s v="No aplica"/>
    <x v="1"/>
    <x v="0"/>
    <s v="En investigación"/>
    <s v="No aplica"/>
  </r>
  <r>
    <n v="634"/>
    <x v="589"/>
    <x v="589"/>
    <x v="589"/>
    <x v="6"/>
    <x v="404"/>
    <x v="2"/>
    <x v="11"/>
    <s v="-31,4506257494184, -64,1733054344705"/>
    <d v="1981-10-12T00:00:00"/>
    <n v="41"/>
    <x v="6"/>
    <x v="1"/>
    <s v="🚹"/>
    <x v="3"/>
    <d v="2009-01-10T00:00:00"/>
    <n v="14"/>
    <x v="5"/>
    <x v="1"/>
    <s v="🚺"/>
    <n v="3"/>
    <x v="0"/>
    <x v="0"/>
    <s v="No aplica"/>
    <s v="Cuentas falsas"/>
    <x v="1"/>
    <x v="0"/>
    <s v="Cerrado"/>
    <s v="241"/>
  </r>
  <r>
    <n v="636"/>
    <x v="590"/>
    <x v="590"/>
    <x v="590"/>
    <x v="1"/>
    <x v="508"/>
    <x v="4"/>
    <x v="6"/>
    <s v="-31,3909520937826, -64,1836424491715"/>
    <d v="1968-12-28T00:00:00"/>
    <n v="55"/>
    <x v="0"/>
    <x v="0"/>
    <s v="🚺"/>
    <x v="2"/>
    <d v="2004-01-19T00:00:00"/>
    <n v="20"/>
    <x v="3"/>
    <x v="1"/>
    <s v="🚺"/>
    <n v="3"/>
    <x v="0"/>
    <x v="0"/>
    <s v="No aplica"/>
    <s v="Vidrios de comercio rotos"/>
    <x v="1"/>
    <x v="1"/>
    <s v="Cerrado"/>
    <s v="216"/>
  </r>
  <r>
    <n v="99"/>
    <x v="505"/>
    <x v="505"/>
    <x v="505"/>
    <x v="5"/>
    <x v="301"/>
    <x v="7"/>
    <x v="3"/>
    <s v="-31,4148488101991, -64,1793406489438"/>
    <d v="2006-11-16T00:00:00"/>
    <n v="14"/>
    <x v="2"/>
    <x v="1"/>
    <s v="🚹"/>
    <x v="4"/>
    <d v="1961-06-20T00:00:00"/>
    <n v="60"/>
    <x v="2"/>
    <x v="0"/>
    <s v="🚹"/>
    <n v="2"/>
    <x v="1"/>
    <x v="0"/>
    <s v="Sin agravantes"/>
    <s v="No aplica"/>
    <x v="0"/>
    <x v="0"/>
    <s v="Cerrado"/>
    <s v="No aplica"/>
  </r>
  <r>
    <n v="637"/>
    <x v="591"/>
    <x v="591"/>
    <x v="591"/>
    <x v="5"/>
    <x v="37"/>
    <x v="0"/>
    <x v="1"/>
    <s v="-31,4129883640337, -64,1681120522587"/>
    <d v="1971-01-05T00:00:00"/>
    <n v="50"/>
    <x v="0"/>
    <x v="0"/>
    <s v="🚺"/>
    <x v="3"/>
    <d v="1949-12-17T00:00:00"/>
    <n v="71"/>
    <x v="0"/>
    <x v="1"/>
    <s v="🚺"/>
    <n v="3"/>
    <x v="0"/>
    <x v="0"/>
    <s v="No aplica"/>
    <s v="Estafa bancaria"/>
    <x v="1"/>
    <x v="0"/>
    <s v="Cerrado"/>
    <s v="110"/>
  </r>
  <r>
    <n v="321"/>
    <x v="592"/>
    <x v="592"/>
    <x v="592"/>
    <x v="6"/>
    <x v="509"/>
    <x v="10"/>
    <x v="10"/>
    <s v="-31,4285567311661, -64,1853198281007"/>
    <d v="1976-12-12T00:00:00"/>
    <n v="44"/>
    <x v="6"/>
    <x v="1"/>
    <s v="🚹"/>
    <x v="3"/>
    <d v="1964-07-25T00:00:00"/>
    <n v="57"/>
    <x v="2"/>
    <x v="0"/>
    <s v="🚹"/>
    <n v="2"/>
    <x v="1"/>
    <x v="0"/>
    <s v="No aplica"/>
    <s v="Ropa de marca"/>
    <x v="0"/>
    <x v="1"/>
    <s v="Cerrado"/>
    <s v="No aplica"/>
  </r>
  <r>
    <n v="640"/>
    <x v="593"/>
    <x v="593"/>
    <x v="593"/>
    <x v="4"/>
    <x v="120"/>
    <x v="9"/>
    <x v="11"/>
    <s v="-31,4506257494184, -64,1733054344705"/>
    <d v="1996-09-28T00:00:00"/>
    <n v="27"/>
    <x v="3"/>
    <x v="0"/>
    <s v="🚺"/>
    <x v="3"/>
    <d v="2014-06-08T00:00:00"/>
    <n v="9"/>
    <x v="5"/>
    <x v="0"/>
    <s v="🚹"/>
    <n v="3"/>
    <x v="0"/>
    <x v="0"/>
    <s v="No aplica"/>
    <s v="Vidrios de comercio rotos"/>
    <x v="1"/>
    <x v="1"/>
    <s v="Cerrado"/>
    <s v="47"/>
  </r>
  <r>
    <n v="643"/>
    <x v="594"/>
    <x v="594"/>
    <x v="594"/>
    <x v="6"/>
    <x v="510"/>
    <x v="10"/>
    <x v="7"/>
    <s v="-31,4015892433235, -64,160442876477"/>
    <d v="1953-08-15T00:00:00"/>
    <n v="68"/>
    <x v="4"/>
    <x v="1"/>
    <s v="🚹"/>
    <x v="4"/>
    <d v="1950-02-16T00:00:00"/>
    <n v="72"/>
    <x v="0"/>
    <x v="0"/>
    <s v="🚹"/>
    <n v="1"/>
    <x v="0"/>
    <x v="0"/>
    <s v="Sin agravantes"/>
    <s v="No aplica"/>
    <x v="1"/>
    <x v="1"/>
    <s v="Cerrado"/>
    <s v="80"/>
  </r>
  <r>
    <n v="255"/>
    <x v="595"/>
    <x v="595"/>
    <x v="595"/>
    <x v="3"/>
    <x v="511"/>
    <x v="8"/>
    <x v="11"/>
    <s v="-31,4506257494184, -64,1733054344705"/>
    <d v="1957-05-26T00:00:00"/>
    <n v="64"/>
    <x v="5"/>
    <x v="0"/>
    <s v="🚺"/>
    <x v="3"/>
    <d v="1949-05-06T00:00:00"/>
    <n v="72"/>
    <x v="0"/>
    <x v="1"/>
    <s v="🚺"/>
    <n v="2"/>
    <x v="1"/>
    <x v="0"/>
    <s v="No aplica"/>
    <s v="5kg de cocaína"/>
    <x v="1"/>
    <x v="0"/>
    <s v="Cerrado"/>
    <s v="No aplica"/>
  </r>
  <r>
    <n v="766"/>
    <x v="596"/>
    <x v="596"/>
    <x v="596"/>
    <x v="4"/>
    <x v="512"/>
    <x v="0"/>
    <x v="6"/>
    <s v="-31,3909520937826, -64,1836424491715"/>
    <d v="1962-04-03T00:00:00"/>
    <n v="59"/>
    <x v="5"/>
    <x v="0"/>
    <s v="🚺"/>
    <x v="2"/>
    <d v="1997-09-08T00:00:00"/>
    <n v="24"/>
    <x v="3"/>
    <x v="1"/>
    <s v="🚺"/>
    <n v="2"/>
    <x v="1"/>
    <x v="0"/>
    <s v="No aplica"/>
    <s v="Vidrios de comercio rotos"/>
    <x v="1"/>
    <x v="0"/>
    <s v="Cerrado"/>
    <s v="No aplica"/>
  </r>
  <r>
    <n v="644"/>
    <x v="597"/>
    <x v="597"/>
    <x v="597"/>
    <x v="1"/>
    <x v="513"/>
    <x v="7"/>
    <x v="11"/>
    <s v="-31,4506257494184, -64,1733054344705"/>
    <d v="1997-04-18T00:00:00"/>
    <n v="25"/>
    <x v="1"/>
    <x v="1"/>
    <s v="🚹"/>
    <x v="0"/>
    <d v="1940-12-18T00:00:00"/>
    <n v="81"/>
    <x v="0"/>
    <x v="0"/>
    <s v="🚹"/>
    <n v="2"/>
    <x v="0"/>
    <x v="0"/>
    <s v="No aplica"/>
    <s v="Lavado de dinero"/>
    <x v="1"/>
    <x v="0"/>
    <s v="Abierto"/>
    <s v="210"/>
  </r>
  <r>
    <n v="232"/>
    <x v="598"/>
    <x v="598"/>
    <x v="598"/>
    <x v="2"/>
    <x v="514"/>
    <x v="3"/>
    <x v="2"/>
    <s v="-31,334500143441, -64,2460773260564"/>
    <d v="1952-05-26T00:00:00"/>
    <n v="69"/>
    <x v="4"/>
    <x v="0"/>
    <s v="🚺"/>
    <x v="3"/>
    <d v="1976-11-09T00:00:00"/>
    <n v="44"/>
    <x v="1"/>
    <x v="1"/>
    <s v="🚺"/>
    <n v="3"/>
    <x v="1"/>
    <x v="0"/>
    <s v="Alevosía"/>
    <s v="No aplica"/>
    <x v="0"/>
    <x v="0"/>
    <s v="Cerrado"/>
    <s v="No aplica"/>
  </r>
  <r>
    <n v="378"/>
    <x v="599"/>
    <x v="599"/>
    <x v="599"/>
    <x v="4"/>
    <x v="247"/>
    <x v="7"/>
    <x v="1"/>
    <s v="-31,4129883640337, -64,1681120522587"/>
    <d v="1960-07-18T00:00:00"/>
    <n v="61"/>
    <x v="5"/>
    <x v="0"/>
    <s v="🚺"/>
    <x v="4"/>
    <d v="2010-04-27T00:00:00"/>
    <n v="11"/>
    <x v="5"/>
    <x v="0"/>
    <s v="🚹"/>
    <n v="1"/>
    <x v="1"/>
    <x v="3"/>
    <s v="Con ensañamiento"/>
    <s v="No aplica"/>
    <x v="1"/>
    <x v="1"/>
    <s v="Cerrado"/>
    <s v="No aplica"/>
  </r>
  <r>
    <n v="994"/>
    <x v="600"/>
    <x v="600"/>
    <x v="600"/>
    <x v="0"/>
    <x v="45"/>
    <x v="4"/>
    <x v="5"/>
    <s v="-31,3477902896523, -64,2644406169297"/>
    <d v="1988-04-03T00:00:00"/>
    <n v="33"/>
    <x v="3"/>
    <x v="0"/>
    <s v="🚺"/>
    <x v="4"/>
    <d v="2004-02-25T00:00:00"/>
    <n v="17"/>
    <x v="5"/>
    <x v="1"/>
    <s v="🚺"/>
    <n v="1"/>
    <x v="1"/>
    <x v="0"/>
    <s v="No aplica"/>
    <s v="Cuentas falsas"/>
    <x v="1"/>
    <x v="1"/>
    <s v="Cerrado"/>
    <s v="No aplica"/>
  </r>
  <r>
    <n v="349"/>
    <x v="601"/>
    <x v="601"/>
    <x v="601"/>
    <x v="1"/>
    <x v="515"/>
    <x v="2"/>
    <x v="11"/>
    <s v="-31,4506257494184, -64,1733054344705"/>
    <d v="1962-08-03T00:00:00"/>
    <n v="59"/>
    <x v="5"/>
    <x v="1"/>
    <s v="🚹"/>
    <x v="3"/>
    <d v="1970-08-17T00:00:00"/>
    <n v="51"/>
    <x v="4"/>
    <x v="0"/>
    <s v="🚹"/>
    <n v="1"/>
    <x v="1"/>
    <x v="2"/>
    <s v="Por vínculo"/>
    <s v="No aplica"/>
    <x v="1"/>
    <x v="0"/>
    <s v="Cerrado"/>
    <s v="No aplica"/>
  </r>
  <r>
    <n v="124"/>
    <x v="434"/>
    <x v="434"/>
    <x v="434"/>
    <x v="6"/>
    <x v="217"/>
    <x v="7"/>
    <x v="5"/>
    <s v="-31,3477902896523, -64,2644406169297"/>
    <d v="1985-08-19T00:00:00"/>
    <n v="36"/>
    <x v="6"/>
    <x v="1"/>
    <s v="🚹"/>
    <x v="3"/>
    <d v="1986-12-17T00:00:00"/>
    <n v="34"/>
    <x v="6"/>
    <x v="1"/>
    <s v="🚺"/>
    <n v="2"/>
    <x v="1"/>
    <x v="0"/>
    <s v="No aplica"/>
    <s v="Lavado de dinero"/>
    <x v="0"/>
    <x v="1"/>
    <s v="Cerrado"/>
    <s v="No aplica"/>
  </r>
  <r>
    <n v="646"/>
    <x v="602"/>
    <x v="602"/>
    <x v="602"/>
    <x v="1"/>
    <x v="516"/>
    <x v="0"/>
    <x v="1"/>
    <s v="-31,4129883640337, -64,1681120522587"/>
    <d v="1993-06-15T00:00:00"/>
    <n v="22"/>
    <x v="1"/>
    <x v="0"/>
    <s v="🚺"/>
    <x v="0"/>
    <d v="1967-11-24T00:00:00"/>
    <n v="48"/>
    <x v="4"/>
    <x v="0"/>
    <s v="🚹"/>
    <n v="1"/>
    <x v="0"/>
    <x v="2"/>
    <s v="Sin agravantes"/>
    <s v="No aplica"/>
    <x v="0"/>
    <x v="0"/>
    <s v="Abierto"/>
    <s v="128"/>
  </r>
  <r>
    <n v="51"/>
    <x v="603"/>
    <x v="603"/>
    <x v="603"/>
    <x v="4"/>
    <x v="196"/>
    <x v="2"/>
    <x v="5"/>
    <s v="-31,3477902896523, -64,2644406169297"/>
    <d v="1983-01-21T00:00:00"/>
    <n v="38"/>
    <x v="6"/>
    <x v="1"/>
    <s v="🚹"/>
    <x v="3"/>
    <d v="2002-08-05T00:00:00"/>
    <n v="19"/>
    <x v="3"/>
    <x v="0"/>
    <s v="🚹"/>
    <n v="2"/>
    <x v="1"/>
    <x v="0"/>
    <s v="No aplica"/>
    <s v="Celular"/>
    <x v="0"/>
    <x v="0"/>
    <s v="Cerrado"/>
    <s v="No aplica"/>
  </r>
  <r>
    <n v="370"/>
    <x v="604"/>
    <x v="604"/>
    <x v="604"/>
    <x v="1"/>
    <x v="30"/>
    <x v="10"/>
    <x v="4"/>
    <s v="-31,3759272890294, -64,2284587792478"/>
    <d v="2003-01-21T00:00:00"/>
    <n v="18"/>
    <x v="1"/>
    <x v="0"/>
    <s v="🚺"/>
    <x v="4"/>
    <d v="1955-07-21T00:00:00"/>
    <n v="66"/>
    <x v="0"/>
    <x v="1"/>
    <s v="🚺"/>
    <n v="3"/>
    <x v="1"/>
    <x v="0"/>
    <s v="No aplica"/>
    <s v="Vidrios de comercio rotos"/>
    <x v="0"/>
    <x v="0"/>
    <s v="Cerrado"/>
    <s v="No aplica"/>
  </r>
  <r>
    <n v="938"/>
    <x v="605"/>
    <x v="605"/>
    <x v="605"/>
    <x v="2"/>
    <x v="517"/>
    <x v="7"/>
    <x v="1"/>
    <s v="-31,4129883640337, -64,1681120522587"/>
    <d v="1959-12-21T00:00:00"/>
    <n v="61"/>
    <x v="5"/>
    <x v="1"/>
    <s v="🚹"/>
    <x v="3"/>
    <d v="1944-04-18T00:00:00"/>
    <n v="77"/>
    <x v="0"/>
    <x v="0"/>
    <s v="🚹"/>
    <n v="2"/>
    <x v="1"/>
    <x v="0"/>
    <s v="No aplica"/>
    <s v="Celular"/>
    <x v="0"/>
    <x v="1"/>
    <s v="Abierto"/>
    <s v="No aplica"/>
  </r>
  <r>
    <n v="624"/>
    <x v="606"/>
    <x v="606"/>
    <x v="606"/>
    <x v="1"/>
    <x v="480"/>
    <x v="11"/>
    <x v="4"/>
    <s v="-31,3759272890294, -64,2284587792478"/>
    <d v="1980-01-15T00:00:00"/>
    <n v="41"/>
    <x v="6"/>
    <x v="0"/>
    <s v="🚺"/>
    <x v="1"/>
    <d v="2014-03-16T00:00:00"/>
    <n v="7"/>
    <x v="5"/>
    <x v="0"/>
    <s v="🚹"/>
    <n v="1"/>
    <x v="1"/>
    <x v="3"/>
    <s v="Alevosía"/>
    <s v="No aplica"/>
    <x v="1"/>
    <x v="0"/>
    <s v="Abierto"/>
    <s v="No aplica"/>
  </r>
  <r>
    <n v="54"/>
    <x v="607"/>
    <x v="607"/>
    <x v="607"/>
    <x v="5"/>
    <x v="388"/>
    <x v="8"/>
    <x v="3"/>
    <s v="-31,4148488101991, -64,1793406489438"/>
    <d v="1957-02-02T00:00:00"/>
    <n v="64"/>
    <x v="5"/>
    <x v="0"/>
    <s v="🚺"/>
    <x v="4"/>
    <d v="1991-06-11T00:00:00"/>
    <n v="30"/>
    <x v="6"/>
    <x v="1"/>
    <s v="🚺"/>
    <n v="1"/>
    <x v="1"/>
    <x v="1"/>
    <s v="No aplica"/>
    <s v="Laptop marca HP"/>
    <x v="1"/>
    <x v="1"/>
    <s v="Cerrado"/>
    <s v="No aplica"/>
  </r>
  <r>
    <n v="650"/>
    <x v="607"/>
    <x v="607"/>
    <x v="607"/>
    <x v="5"/>
    <x v="11"/>
    <x v="6"/>
    <x v="4"/>
    <s v="-31,3759272890294, -64,2284587792478"/>
    <d v="1969-12-22T00:00:00"/>
    <n v="51"/>
    <x v="0"/>
    <x v="1"/>
    <s v="🚹"/>
    <x v="3"/>
    <d v="2001-07-03T00:00:00"/>
    <n v="20"/>
    <x v="3"/>
    <x v="1"/>
    <s v="🚺"/>
    <n v="1"/>
    <x v="0"/>
    <x v="0"/>
    <s v="No aplica"/>
    <s v="Ropa de marca"/>
    <x v="1"/>
    <x v="1"/>
    <s v="En investigación"/>
    <s v="81"/>
  </r>
  <r>
    <n v="852"/>
    <x v="607"/>
    <x v="607"/>
    <x v="607"/>
    <x v="5"/>
    <x v="307"/>
    <x v="0"/>
    <x v="6"/>
    <s v="-31,3909520937826, -64,1836424491715"/>
    <d v="1994-04-21T00:00:00"/>
    <n v="27"/>
    <x v="3"/>
    <x v="0"/>
    <s v="🚺"/>
    <x v="1"/>
    <d v="1943-03-05T00:00:00"/>
    <n v="78"/>
    <x v="0"/>
    <x v="0"/>
    <s v="🚹"/>
    <n v="2"/>
    <x v="1"/>
    <x v="0"/>
    <s v="No aplica"/>
    <s v="Celular"/>
    <x v="1"/>
    <x v="0"/>
    <s v="En investigación"/>
    <s v="No aplica"/>
  </r>
  <r>
    <n v="651"/>
    <x v="608"/>
    <x v="608"/>
    <x v="608"/>
    <x v="2"/>
    <x v="518"/>
    <x v="11"/>
    <x v="9"/>
    <s v="-31,4076397196409, -64,2020170430678"/>
    <d v="2003-05-24T00:00:00"/>
    <n v="17"/>
    <x v="2"/>
    <x v="0"/>
    <s v="🚺"/>
    <x v="3"/>
    <d v="1969-10-25T00:00:00"/>
    <n v="50"/>
    <x v="4"/>
    <x v="0"/>
    <s v="🚹"/>
    <n v="2"/>
    <x v="0"/>
    <x v="0"/>
    <s v="No aplica"/>
    <s v="Vidrios de comercio rotos"/>
    <x v="1"/>
    <x v="0"/>
    <s v="Cerrado"/>
    <s v="98"/>
  </r>
  <r>
    <n v="653"/>
    <x v="609"/>
    <x v="609"/>
    <x v="609"/>
    <x v="0"/>
    <x v="519"/>
    <x v="10"/>
    <x v="7"/>
    <s v="-31,4015892433235, -64,160442876477"/>
    <d v="1987-10-15T00:00:00"/>
    <n v="29"/>
    <x v="3"/>
    <x v="1"/>
    <s v="🚹"/>
    <x v="0"/>
    <d v="2010-08-16T00:00:00"/>
    <n v="6"/>
    <x v="5"/>
    <x v="0"/>
    <s v="🚹"/>
    <n v="3"/>
    <x v="0"/>
    <x v="0"/>
    <s v="No aplica"/>
    <s v="Vidrios de comercio rotos"/>
    <x v="1"/>
    <x v="0"/>
    <s v="Abierto"/>
    <s v="136"/>
  </r>
  <r>
    <n v="654"/>
    <x v="610"/>
    <x v="610"/>
    <x v="610"/>
    <x v="4"/>
    <x v="371"/>
    <x v="4"/>
    <x v="7"/>
    <s v="-31,4015892433235, -64,160442876477"/>
    <d v="1962-10-16T00:00:00"/>
    <n v="55"/>
    <x v="0"/>
    <x v="0"/>
    <s v="🚺"/>
    <x v="0"/>
    <d v="1969-06-26T00:00:00"/>
    <n v="49"/>
    <x v="4"/>
    <x v="0"/>
    <s v="🚹"/>
    <n v="1"/>
    <x v="0"/>
    <x v="0"/>
    <s v="No aplica"/>
    <s v="No aplica"/>
    <x v="1"/>
    <x v="0"/>
    <s v="Cerrado"/>
    <s v="37"/>
  </r>
  <r>
    <n v="351"/>
    <x v="611"/>
    <x v="611"/>
    <x v="611"/>
    <x v="6"/>
    <x v="298"/>
    <x v="10"/>
    <x v="4"/>
    <s v="-31,3759272890294, -64,2284587792478"/>
    <d v="2006-07-08T00:00:00"/>
    <n v="15"/>
    <x v="2"/>
    <x v="0"/>
    <s v="🚺"/>
    <x v="0"/>
    <d v="1949-09-21T00:00:00"/>
    <n v="72"/>
    <x v="0"/>
    <x v="0"/>
    <s v="🚹"/>
    <n v="2"/>
    <x v="1"/>
    <x v="0"/>
    <s v="No aplica"/>
    <s v="Ropa de marca"/>
    <x v="1"/>
    <x v="1"/>
    <s v="Cerrado"/>
    <s v="No aplica"/>
  </r>
  <r>
    <n v="655"/>
    <x v="612"/>
    <x v="612"/>
    <x v="612"/>
    <x v="2"/>
    <x v="520"/>
    <x v="9"/>
    <x v="11"/>
    <s v="-31,4506257494184, -64,1733054344705"/>
    <d v="1986-03-24T00:00:00"/>
    <n v="35"/>
    <x v="3"/>
    <x v="1"/>
    <s v="🚹"/>
    <x v="4"/>
    <d v="1996-07-24T00:00:00"/>
    <n v="25"/>
    <x v="3"/>
    <x v="0"/>
    <s v="🚹"/>
    <n v="2"/>
    <x v="0"/>
    <x v="0"/>
    <s v="No aplica"/>
    <s v="Cuentas falsas"/>
    <x v="0"/>
    <x v="1"/>
    <s v="En investigación"/>
    <s v="292"/>
  </r>
  <r>
    <n v="660"/>
    <x v="613"/>
    <x v="613"/>
    <x v="613"/>
    <x v="0"/>
    <x v="521"/>
    <x v="5"/>
    <x v="7"/>
    <s v="-31,4015892433235, -64,160442876477"/>
    <d v="1993-11-27T00:00:00"/>
    <n v="29"/>
    <x v="3"/>
    <x v="1"/>
    <s v="🚹"/>
    <x v="0"/>
    <d v="1946-11-25T00:00:00"/>
    <n v="76"/>
    <x v="0"/>
    <x v="1"/>
    <s v="🚺"/>
    <n v="3"/>
    <x v="0"/>
    <x v="0"/>
    <s v="No aplica"/>
    <s v="Vidrios de comercio rotos"/>
    <x v="1"/>
    <x v="0"/>
    <s v="Cerrado"/>
    <s v="119"/>
  </r>
  <r>
    <n v="661"/>
    <x v="614"/>
    <x v="614"/>
    <x v="614"/>
    <x v="0"/>
    <x v="522"/>
    <x v="2"/>
    <x v="5"/>
    <s v="-31,3477902896523, -64,2644406169297"/>
    <d v="1969-04-22T00:00:00"/>
    <n v="51"/>
    <x v="0"/>
    <x v="0"/>
    <s v="🚺"/>
    <x v="1"/>
    <d v="1991-04-21T00:00:00"/>
    <n v="29"/>
    <x v="6"/>
    <x v="0"/>
    <s v="🚹"/>
    <n v="1"/>
    <x v="0"/>
    <x v="0"/>
    <s v="No aplica"/>
    <s v="5kg de cocaína"/>
    <x v="1"/>
    <x v="0"/>
    <s v="Abierto"/>
    <s v="153"/>
  </r>
  <r>
    <n v="670"/>
    <x v="615"/>
    <x v="615"/>
    <x v="615"/>
    <x v="0"/>
    <x v="523"/>
    <x v="6"/>
    <x v="10"/>
    <s v="-31,4285567311661, -64,1853198281007"/>
    <d v="1970-04-19T00:00:00"/>
    <n v="51"/>
    <x v="0"/>
    <x v="0"/>
    <s v="🚺"/>
    <x v="3"/>
    <d v="1955-08-06T00:00:00"/>
    <n v="66"/>
    <x v="0"/>
    <x v="0"/>
    <s v="🚹"/>
    <n v="3"/>
    <x v="1"/>
    <x v="0"/>
    <s v="No aplica"/>
    <s v="Lavado de dinero"/>
    <x v="0"/>
    <x v="1"/>
    <s v="En investigación"/>
    <s v="No aplica"/>
  </r>
  <r>
    <n v="662"/>
    <x v="616"/>
    <x v="616"/>
    <x v="616"/>
    <x v="3"/>
    <x v="524"/>
    <x v="9"/>
    <x v="8"/>
    <s v="-31,423018915313, -64,1493562190664"/>
    <d v="1982-08-07T00:00:00"/>
    <n v="38"/>
    <x v="6"/>
    <x v="1"/>
    <s v="🚹"/>
    <x v="1"/>
    <d v="2003-08-25T00:00:00"/>
    <n v="17"/>
    <x v="5"/>
    <x v="0"/>
    <s v="🚹"/>
    <n v="1"/>
    <x v="0"/>
    <x v="0"/>
    <s v="No aplica"/>
    <s v="Cuentas falsas"/>
    <x v="1"/>
    <x v="0"/>
    <s v="En investigación"/>
    <s v="180"/>
  </r>
  <r>
    <n v="184"/>
    <x v="617"/>
    <x v="617"/>
    <x v="617"/>
    <x v="5"/>
    <x v="525"/>
    <x v="3"/>
    <x v="0"/>
    <s v="-31,4800162965848, -64,2094200976892"/>
    <d v="1987-08-28T00:00:00"/>
    <n v="34"/>
    <x v="3"/>
    <x v="0"/>
    <s v="🚺"/>
    <x v="3"/>
    <d v="2008-09-11T00:00:00"/>
    <n v="13"/>
    <x v="5"/>
    <x v="0"/>
    <s v="🚹"/>
    <n v="3"/>
    <x v="1"/>
    <x v="0"/>
    <s v="No aplica"/>
    <s v="No aplica"/>
    <x v="1"/>
    <x v="0"/>
    <s v="Cerrado"/>
    <s v="No aplica"/>
  </r>
  <r>
    <n v="663"/>
    <x v="618"/>
    <x v="618"/>
    <x v="618"/>
    <x v="1"/>
    <x v="166"/>
    <x v="4"/>
    <x v="11"/>
    <s v="-31,4506257494184, -64,1733054344705"/>
    <d v="1989-07-24T00:00:00"/>
    <n v="31"/>
    <x v="3"/>
    <x v="1"/>
    <s v="🚹"/>
    <x v="1"/>
    <d v="1955-02-05T00:00:00"/>
    <n v="65"/>
    <x v="0"/>
    <x v="1"/>
    <s v="🚺"/>
    <n v="3"/>
    <x v="0"/>
    <x v="0"/>
    <s v="Sin agravantes"/>
    <s v="No aplica"/>
    <x v="0"/>
    <x v="1"/>
    <s v="En investigación"/>
    <s v="11"/>
  </r>
  <r>
    <n v="664"/>
    <x v="244"/>
    <x v="244"/>
    <x v="244"/>
    <x v="5"/>
    <x v="526"/>
    <x v="9"/>
    <x v="11"/>
    <s v="-31,4506257494184, -64,1733054344705"/>
    <d v="1975-07-27T00:00:00"/>
    <n v="44"/>
    <x v="6"/>
    <x v="0"/>
    <s v="🚺"/>
    <x v="0"/>
    <d v="1983-10-28T00:00:00"/>
    <n v="36"/>
    <x v="1"/>
    <x v="1"/>
    <s v="🚺"/>
    <n v="2"/>
    <x v="0"/>
    <x v="3"/>
    <s v="Por vínculo"/>
    <s v="No aplica"/>
    <x v="0"/>
    <x v="0"/>
    <s v="Abierto"/>
    <s v="235"/>
  </r>
  <r>
    <n v="665"/>
    <x v="619"/>
    <x v="619"/>
    <x v="619"/>
    <x v="4"/>
    <x v="131"/>
    <x v="7"/>
    <x v="7"/>
    <s v="-31,4015892433235, -64,160442876477"/>
    <d v="1962-08-20T00:00:00"/>
    <n v="61"/>
    <x v="5"/>
    <x v="1"/>
    <s v="🚹"/>
    <x v="1"/>
    <d v="2002-07-28T00:00:00"/>
    <n v="21"/>
    <x v="3"/>
    <x v="0"/>
    <s v="🚹"/>
    <n v="2"/>
    <x v="0"/>
    <x v="4"/>
    <s v="Por vínculo"/>
    <s v="No aplica"/>
    <x v="0"/>
    <x v="0"/>
    <s v="Cerrado"/>
    <s v="103"/>
  </r>
  <r>
    <n v="395"/>
    <x v="620"/>
    <x v="620"/>
    <x v="620"/>
    <x v="6"/>
    <x v="127"/>
    <x v="6"/>
    <x v="9"/>
    <s v="-31,4076397196409, -64,2020170430678"/>
    <d v="1951-03-07T00:00:00"/>
    <n v="70"/>
    <x v="4"/>
    <x v="1"/>
    <s v="🚹"/>
    <x v="3"/>
    <d v="1991-05-21T00:00:00"/>
    <n v="30"/>
    <x v="6"/>
    <x v="1"/>
    <s v="🚺"/>
    <n v="2"/>
    <x v="1"/>
    <x v="1"/>
    <s v="No aplica"/>
    <s v="Celular, tarjetas bancarias"/>
    <x v="0"/>
    <x v="0"/>
    <s v="Abierto"/>
    <s v="No aplica"/>
  </r>
  <r>
    <n v="674"/>
    <x v="621"/>
    <x v="621"/>
    <x v="621"/>
    <x v="3"/>
    <x v="105"/>
    <x v="5"/>
    <x v="3"/>
    <s v="-31,4148488101991, -64,1793406489438"/>
    <d v="1975-03-15T00:00:00"/>
    <n v="42"/>
    <x v="6"/>
    <x v="1"/>
    <s v="🚹"/>
    <x v="4"/>
    <d v="1950-02-08T00:00:00"/>
    <n v="67"/>
    <x v="0"/>
    <x v="0"/>
    <s v="🚹"/>
    <n v="3"/>
    <x v="0"/>
    <x v="0"/>
    <s v="Por vínculo"/>
    <s v="No aplica"/>
    <x v="1"/>
    <x v="1"/>
    <s v="En investigación"/>
    <s v="269"/>
  </r>
  <r>
    <n v="393"/>
    <x v="482"/>
    <x v="482"/>
    <x v="482"/>
    <x v="6"/>
    <x v="527"/>
    <x v="0"/>
    <x v="2"/>
    <s v="-31,334500143441, -64,2460773260564"/>
    <d v="1993-03-02T00:00:00"/>
    <n v="28"/>
    <x v="3"/>
    <x v="1"/>
    <s v="🚹"/>
    <x v="2"/>
    <d v="2001-01-22T00:00:00"/>
    <n v="20"/>
    <x v="3"/>
    <x v="0"/>
    <s v="🚹"/>
    <n v="1"/>
    <x v="1"/>
    <x v="0"/>
    <s v="Con ensañamiento"/>
    <s v="No aplica"/>
    <x v="0"/>
    <x v="1"/>
    <s v="Cerrado"/>
    <s v="No aplica"/>
  </r>
  <r>
    <n v="675"/>
    <x v="622"/>
    <x v="622"/>
    <x v="622"/>
    <x v="6"/>
    <x v="528"/>
    <x v="5"/>
    <x v="3"/>
    <s v="-31,4148488101991, -64,1793406489438"/>
    <d v="1959-05-07T00:00:00"/>
    <n v="58"/>
    <x v="5"/>
    <x v="0"/>
    <s v="🚺"/>
    <x v="0"/>
    <d v="1997-06-02T00:00:00"/>
    <n v="20"/>
    <x v="3"/>
    <x v="1"/>
    <s v="🚺"/>
    <n v="3"/>
    <x v="0"/>
    <x v="0"/>
    <s v="No aplica"/>
    <s v="Contrato fraudulento"/>
    <x v="1"/>
    <x v="0"/>
    <s v="Cerrado"/>
    <s v="193"/>
  </r>
  <r>
    <n v="676"/>
    <x v="623"/>
    <x v="623"/>
    <x v="623"/>
    <x v="5"/>
    <x v="529"/>
    <x v="11"/>
    <x v="5"/>
    <s v="-31,3477902896523, -64,2644406169297"/>
    <d v="1964-12-22T00:00:00"/>
    <n v="56"/>
    <x v="5"/>
    <x v="1"/>
    <s v="🚹"/>
    <x v="3"/>
    <d v="1988-03-10T00:00:00"/>
    <n v="33"/>
    <x v="6"/>
    <x v="1"/>
    <s v="🚺"/>
    <n v="3"/>
    <x v="0"/>
    <x v="0"/>
    <s v="Sin agravantes"/>
    <s v="No aplica"/>
    <x v="1"/>
    <x v="0"/>
    <s v="Cerrado"/>
    <s v="249"/>
  </r>
  <r>
    <n v="985"/>
    <x v="624"/>
    <x v="624"/>
    <x v="624"/>
    <x v="6"/>
    <x v="394"/>
    <x v="4"/>
    <x v="9"/>
    <s v="-31,4076397196409, -64,2020170430678"/>
    <d v="1971-06-09T00:00:00"/>
    <n v="50"/>
    <x v="0"/>
    <x v="0"/>
    <s v="🚺"/>
    <x v="4"/>
    <d v="1955-05-25T00:00:00"/>
    <n v="66"/>
    <x v="0"/>
    <x v="0"/>
    <s v="🚹"/>
    <n v="2"/>
    <x v="1"/>
    <x v="0"/>
    <s v="No aplica"/>
    <s v="Evasión fiscal"/>
    <x v="0"/>
    <x v="0"/>
    <s v="Abierto"/>
    <s v="No aplica"/>
  </r>
  <r>
    <n v="678"/>
    <x v="625"/>
    <x v="625"/>
    <x v="625"/>
    <x v="0"/>
    <x v="530"/>
    <x v="9"/>
    <x v="3"/>
    <s v="-31,4148488101991, -64,1793406489438"/>
    <d v="1951-11-23T00:00:00"/>
    <n v="65"/>
    <x v="4"/>
    <x v="0"/>
    <s v="🚺"/>
    <x v="2"/>
    <d v="1975-03-24T00:00:00"/>
    <n v="42"/>
    <x v="1"/>
    <x v="0"/>
    <s v="🚹"/>
    <n v="1"/>
    <x v="0"/>
    <x v="0"/>
    <s v="No aplica"/>
    <s v="Vidrios de comercio rotos"/>
    <x v="1"/>
    <x v="0"/>
    <s v="Cerrado"/>
    <s v="180"/>
  </r>
  <r>
    <n v="681"/>
    <x v="626"/>
    <x v="626"/>
    <x v="626"/>
    <x v="6"/>
    <x v="480"/>
    <x v="10"/>
    <x v="4"/>
    <s v="-31,3759272890294, -64,2284587792478"/>
    <d v="1954-07-24T00:00:00"/>
    <n v="68"/>
    <x v="4"/>
    <x v="1"/>
    <s v="🚹"/>
    <x v="3"/>
    <d v="1957-02-06T00:00:00"/>
    <n v="65"/>
    <x v="0"/>
    <x v="0"/>
    <s v="🚹"/>
    <n v="3"/>
    <x v="0"/>
    <x v="3"/>
    <s v="Con ensañamiento"/>
    <s v="No aplica"/>
    <x v="1"/>
    <x v="0"/>
    <s v="En investigación"/>
    <s v="56"/>
  </r>
  <r>
    <n v="243"/>
    <x v="627"/>
    <x v="627"/>
    <x v="627"/>
    <x v="6"/>
    <x v="531"/>
    <x v="3"/>
    <x v="3"/>
    <s v="-31,4148488101991, -64,1793406489438"/>
    <d v="1985-01-25T00:00:00"/>
    <n v="37"/>
    <x v="6"/>
    <x v="1"/>
    <s v="🚹"/>
    <x v="2"/>
    <d v="2015-06-11T00:00:00"/>
    <n v="6"/>
    <x v="5"/>
    <x v="0"/>
    <s v="🚹"/>
    <n v="3"/>
    <x v="1"/>
    <x v="0"/>
    <s v="No aplica"/>
    <s v="5kg de cocaína"/>
    <x v="0"/>
    <x v="0"/>
    <s v="Cerrado"/>
    <s v="No aplica"/>
  </r>
  <r>
    <n v="685"/>
    <x v="388"/>
    <x v="388"/>
    <x v="388"/>
    <x v="4"/>
    <x v="532"/>
    <x v="4"/>
    <x v="4"/>
    <s v="-31,3759272890294, -64,2284587792478"/>
    <d v="1983-08-01T00:00:00"/>
    <n v="41"/>
    <x v="6"/>
    <x v="0"/>
    <s v="🚺"/>
    <x v="3"/>
    <d v="1966-02-12T00:00:00"/>
    <n v="58"/>
    <x v="2"/>
    <x v="1"/>
    <s v="🚺"/>
    <n v="3"/>
    <x v="0"/>
    <x v="0"/>
    <s v="No aplica"/>
    <s v="Lavado de dinero"/>
    <x v="1"/>
    <x v="1"/>
    <s v="Abierto"/>
    <s v="251"/>
  </r>
  <r>
    <n v="768"/>
    <x v="628"/>
    <x v="628"/>
    <x v="628"/>
    <x v="0"/>
    <x v="533"/>
    <x v="11"/>
    <x v="10"/>
    <s v="-31,4285567311661, -64,1853198281007"/>
    <d v="1975-09-25T00:00:00"/>
    <n v="46"/>
    <x v="0"/>
    <x v="0"/>
    <s v="🚺"/>
    <x v="3"/>
    <d v="1965-01-11T00:00:00"/>
    <n v="57"/>
    <x v="2"/>
    <x v="0"/>
    <s v="🚹"/>
    <n v="2"/>
    <x v="1"/>
    <x v="0"/>
    <s v="No aplica"/>
    <s v="No aplica"/>
    <x v="1"/>
    <x v="1"/>
    <s v="Cerrado"/>
    <s v="No aplica"/>
  </r>
  <r>
    <n v="686"/>
    <x v="629"/>
    <x v="629"/>
    <x v="629"/>
    <x v="4"/>
    <x v="534"/>
    <x v="0"/>
    <x v="10"/>
    <s v="-31,4285567311661, -64,1853198281007"/>
    <d v="2001-02-20T00:00:00"/>
    <n v="16"/>
    <x v="2"/>
    <x v="1"/>
    <s v="🚹"/>
    <x v="0"/>
    <d v="2011-05-10T00:00:00"/>
    <n v="6"/>
    <x v="5"/>
    <x v="0"/>
    <s v="🚹"/>
    <n v="2"/>
    <x v="0"/>
    <x v="0"/>
    <s v="No aplica"/>
    <s v="Pasta base"/>
    <x v="0"/>
    <x v="1"/>
    <s v="Cerrado"/>
    <s v="213"/>
  </r>
  <r>
    <n v="688"/>
    <x v="630"/>
    <x v="630"/>
    <x v="630"/>
    <x v="2"/>
    <x v="535"/>
    <x v="4"/>
    <x v="10"/>
    <s v="-31,4285567311661, -64,1853198281007"/>
    <d v="1978-06-11T00:00:00"/>
    <n v="38"/>
    <x v="6"/>
    <x v="0"/>
    <s v="🚺"/>
    <x v="1"/>
    <d v="1948-10-26T00:00:00"/>
    <n v="67"/>
    <x v="0"/>
    <x v="1"/>
    <s v="🚺"/>
    <n v="2"/>
    <x v="0"/>
    <x v="0"/>
    <s v="No aplica"/>
    <s v="Evasión fiscal"/>
    <x v="1"/>
    <x v="1"/>
    <s v="Cerrado"/>
    <s v="189"/>
  </r>
  <r>
    <n v="742"/>
    <x v="631"/>
    <x v="631"/>
    <x v="631"/>
    <x v="4"/>
    <x v="38"/>
    <x v="9"/>
    <x v="10"/>
    <s v="-31,4285567311661, -64,1853198281007"/>
    <d v="1951-05-24T00:00:00"/>
    <n v="70"/>
    <x v="4"/>
    <x v="1"/>
    <s v="🚹"/>
    <x v="2"/>
    <d v="1948-12-03T00:00:00"/>
    <n v="73"/>
    <x v="0"/>
    <x v="1"/>
    <s v="🚺"/>
    <n v="2"/>
    <x v="1"/>
    <x v="0"/>
    <s v="No aplica"/>
    <s v="Cuentas falsas"/>
    <x v="1"/>
    <x v="0"/>
    <s v="Cerrado"/>
    <s v="No aplica"/>
  </r>
  <r>
    <n v="837"/>
    <x v="631"/>
    <x v="631"/>
    <x v="631"/>
    <x v="4"/>
    <x v="536"/>
    <x v="8"/>
    <x v="2"/>
    <s v="-31,334500143441, -64,2460773260564"/>
    <d v="1986-06-06T00:00:00"/>
    <n v="35"/>
    <x v="3"/>
    <x v="1"/>
    <s v="🚹"/>
    <x v="1"/>
    <d v="1988-05-22T00:00:00"/>
    <n v="33"/>
    <x v="6"/>
    <x v="0"/>
    <s v="🚹"/>
    <n v="2"/>
    <x v="1"/>
    <x v="0"/>
    <s v="No aplica"/>
    <s v="No aplica"/>
    <x v="1"/>
    <x v="1"/>
    <s v="Abierto"/>
    <s v="No aplica"/>
  </r>
  <r>
    <n v="689"/>
    <x v="632"/>
    <x v="632"/>
    <x v="632"/>
    <x v="5"/>
    <x v="537"/>
    <x v="10"/>
    <x v="6"/>
    <s v="-31,3909520937826, -64,1836424491715"/>
    <d v="1954-03-11T00:00:00"/>
    <n v="63"/>
    <x v="5"/>
    <x v="1"/>
    <s v="🚹"/>
    <x v="0"/>
    <d v="1991-03-11T00:00:00"/>
    <n v="26"/>
    <x v="6"/>
    <x v="1"/>
    <s v="🚺"/>
    <n v="3"/>
    <x v="0"/>
    <x v="0"/>
    <s v="No aplica"/>
    <s v="Dinero público desviado"/>
    <x v="0"/>
    <x v="0"/>
    <s v="Cerrado"/>
    <s v="199"/>
  </r>
  <r>
    <n v="693"/>
    <x v="633"/>
    <x v="633"/>
    <x v="633"/>
    <x v="2"/>
    <x v="64"/>
    <x v="6"/>
    <x v="3"/>
    <s v="-31,4148488101991, -64,1793406489438"/>
    <d v="1968-03-22T00:00:00"/>
    <n v="53"/>
    <x v="0"/>
    <x v="0"/>
    <s v="🚺"/>
    <x v="0"/>
    <d v="1970-12-26T00:00:00"/>
    <n v="51"/>
    <x v="4"/>
    <x v="1"/>
    <s v="🚺"/>
    <n v="3"/>
    <x v="0"/>
    <x v="0"/>
    <s v="No aplica"/>
    <s v="Vidrios de comercio rotos"/>
    <x v="0"/>
    <x v="1"/>
    <s v="En investigación"/>
    <s v="75"/>
  </r>
  <r>
    <n v="696"/>
    <x v="153"/>
    <x v="153"/>
    <x v="153"/>
    <x v="2"/>
    <x v="538"/>
    <x v="8"/>
    <x v="3"/>
    <s v="-31,4148488101991, -64,1793406489438"/>
    <d v="1953-05-06T00:00:00"/>
    <n v="63"/>
    <x v="5"/>
    <x v="0"/>
    <s v="🚺"/>
    <x v="0"/>
    <d v="1952-05-07T00:00:00"/>
    <n v="64"/>
    <x v="2"/>
    <x v="1"/>
    <s v="🚺"/>
    <n v="2"/>
    <x v="0"/>
    <x v="3"/>
    <s v="Por vínculo"/>
    <s v="No aplica"/>
    <x v="0"/>
    <x v="1"/>
    <s v="Cerrado"/>
    <s v="10"/>
  </r>
  <r>
    <n v="958"/>
    <x v="634"/>
    <x v="634"/>
    <x v="634"/>
    <x v="4"/>
    <x v="532"/>
    <x v="3"/>
    <x v="2"/>
    <s v="-31,334500143441, -64,2460773260564"/>
    <d v="1986-07-02T00:00:00"/>
    <n v="35"/>
    <x v="3"/>
    <x v="1"/>
    <s v="🚹"/>
    <x v="3"/>
    <d v="1967-02-08T00:00:00"/>
    <n v="55"/>
    <x v="4"/>
    <x v="0"/>
    <s v="🚹"/>
    <n v="3"/>
    <x v="1"/>
    <x v="0"/>
    <s v="No aplica"/>
    <s v="Estafa bancaria"/>
    <x v="0"/>
    <x v="0"/>
    <s v="Abierto"/>
    <s v="No aplica"/>
  </r>
  <r>
    <n v="698"/>
    <x v="635"/>
    <x v="635"/>
    <x v="635"/>
    <x v="0"/>
    <x v="539"/>
    <x v="10"/>
    <x v="10"/>
    <s v="-31,4285567311661, -64,1853198281007"/>
    <d v="1971-07-17T00:00:00"/>
    <n v="49"/>
    <x v="0"/>
    <x v="0"/>
    <s v="🚺"/>
    <x v="3"/>
    <d v="2011-08-22T00:00:00"/>
    <n v="9"/>
    <x v="5"/>
    <x v="1"/>
    <s v="🚺"/>
    <n v="1"/>
    <x v="0"/>
    <x v="0"/>
    <s v="No aplica"/>
    <s v="Lavado de dinero"/>
    <x v="1"/>
    <x v="0"/>
    <s v="Cerrado"/>
    <s v="300"/>
  </r>
  <r>
    <n v="211"/>
    <x v="636"/>
    <x v="636"/>
    <x v="636"/>
    <x v="1"/>
    <x v="448"/>
    <x v="4"/>
    <x v="7"/>
    <s v="-31,4015892433235, -64,160442876477"/>
    <d v="1994-12-23T00:00:00"/>
    <n v="27"/>
    <x v="3"/>
    <x v="1"/>
    <s v="🚹"/>
    <x v="4"/>
    <d v="1958-08-17T00:00:00"/>
    <n v="63"/>
    <x v="2"/>
    <x v="0"/>
    <s v="🚹"/>
    <n v="1"/>
    <x v="1"/>
    <x v="0"/>
    <s v="No aplica"/>
    <s v="Contrato fraudulento"/>
    <x v="0"/>
    <x v="1"/>
    <s v="En investigación"/>
    <s v="No aplica"/>
  </r>
  <r>
    <n v="356"/>
    <x v="636"/>
    <x v="636"/>
    <x v="636"/>
    <x v="1"/>
    <x v="540"/>
    <x v="10"/>
    <x v="8"/>
    <s v="-31,423018915313, -64,1493562190664"/>
    <d v="1977-03-04T00:00:00"/>
    <n v="45"/>
    <x v="6"/>
    <x v="1"/>
    <s v="🚹"/>
    <x v="2"/>
    <d v="1955-01-10T00:00:00"/>
    <n v="67"/>
    <x v="0"/>
    <x v="0"/>
    <s v="🚹"/>
    <n v="2"/>
    <x v="1"/>
    <x v="0"/>
    <s v="No aplica"/>
    <s v="Vidrios de comercio rotos"/>
    <x v="1"/>
    <x v="0"/>
    <s v="Abierto"/>
    <s v="No aplica"/>
  </r>
  <r>
    <n v="699"/>
    <x v="637"/>
    <x v="637"/>
    <x v="637"/>
    <x v="0"/>
    <x v="541"/>
    <x v="8"/>
    <x v="9"/>
    <s v="-31,4076397196409, -64,2020170430678"/>
    <d v="1985-02-02T00:00:00"/>
    <n v="31"/>
    <x v="3"/>
    <x v="1"/>
    <s v="🚹"/>
    <x v="3"/>
    <d v="1983-09-10T00:00:00"/>
    <n v="33"/>
    <x v="6"/>
    <x v="1"/>
    <s v="🚺"/>
    <n v="2"/>
    <x v="0"/>
    <x v="0"/>
    <s v="No aplica"/>
    <s v="Vidrios de comercio rotos"/>
    <x v="1"/>
    <x v="0"/>
    <s v="Abierto"/>
    <s v="259"/>
  </r>
  <r>
    <n v="388"/>
    <x v="638"/>
    <x v="638"/>
    <x v="638"/>
    <x v="3"/>
    <x v="542"/>
    <x v="9"/>
    <x v="2"/>
    <s v="-31,334500143441, -64,2460773260564"/>
    <d v="1992-11-21T00:00:00"/>
    <n v="29"/>
    <x v="3"/>
    <x v="0"/>
    <s v="🚺"/>
    <x v="3"/>
    <d v="1943-11-09T00:00:00"/>
    <n v="78"/>
    <x v="0"/>
    <x v="0"/>
    <s v="🚹"/>
    <n v="1"/>
    <x v="1"/>
    <x v="2"/>
    <s v="Alevosía"/>
    <s v="No aplica"/>
    <x v="1"/>
    <x v="0"/>
    <s v="Cerrado"/>
    <s v="No aplica"/>
  </r>
  <r>
    <n v="180"/>
    <x v="639"/>
    <x v="639"/>
    <x v="639"/>
    <x v="5"/>
    <x v="25"/>
    <x v="1"/>
    <x v="8"/>
    <s v="-31,423018915313, -64,1493562190664"/>
    <d v="1972-02-27T00:00:00"/>
    <n v="50"/>
    <x v="0"/>
    <x v="0"/>
    <s v="🚺"/>
    <x v="4"/>
    <d v="2005-02-27T00:00:00"/>
    <n v="17"/>
    <x v="5"/>
    <x v="1"/>
    <s v="🚺"/>
    <n v="1"/>
    <x v="1"/>
    <x v="0"/>
    <s v="No aplica"/>
    <s v="5kg de cocaína"/>
    <x v="1"/>
    <x v="0"/>
    <s v="Cerrado"/>
    <s v="No aplica"/>
  </r>
  <r>
    <n v="700"/>
    <x v="382"/>
    <x v="382"/>
    <x v="382"/>
    <x v="3"/>
    <x v="543"/>
    <x v="10"/>
    <x v="10"/>
    <s v="-31,4285567311661, -64,1853198281007"/>
    <d v="1963-08-21T00:00:00"/>
    <n v="60"/>
    <x v="5"/>
    <x v="0"/>
    <s v="🚺"/>
    <x v="2"/>
    <d v="1983-02-04T00:00:00"/>
    <n v="41"/>
    <x v="1"/>
    <x v="0"/>
    <s v="🚹"/>
    <n v="3"/>
    <x v="0"/>
    <x v="3"/>
    <s v="Con ensañamiento"/>
    <s v="No aplica"/>
    <x v="1"/>
    <x v="1"/>
    <s v="Cerrado"/>
    <s v="148"/>
  </r>
  <r>
    <n v="598"/>
    <x v="640"/>
    <x v="640"/>
    <x v="640"/>
    <x v="5"/>
    <x v="544"/>
    <x v="6"/>
    <x v="0"/>
    <s v="-31,4800162965848, -64,2094200976892"/>
    <d v="1970-06-19T00:00:00"/>
    <n v="51"/>
    <x v="0"/>
    <x v="0"/>
    <s v="🚺"/>
    <x v="0"/>
    <d v="1950-08-06T00:00:00"/>
    <n v="71"/>
    <x v="0"/>
    <x v="0"/>
    <s v="🚹"/>
    <n v="3"/>
    <x v="1"/>
    <x v="0"/>
    <s v="No aplica"/>
    <s v="5kg de cocaína"/>
    <x v="1"/>
    <x v="1"/>
    <s v="Cerrado"/>
    <s v="No aplica"/>
  </r>
  <r>
    <n v="701"/>
    <x v="189"/>
    <x v="189"/>
    <x v="189"/>
    <x v="4"/>
    <x v="545"/>
    <x v="7"/>
    <x v="9"/>
    <s v="-31,4076397196409, -64,2020170430678"/>
    <d v="1974-05-13T00:00:00"/>
    <n v="43"/>
    <x v="6"/>
    <x v="1"/>
    <s v="🚹"/>
    <x v="2"/>
    <d v="2002-04-24T00:00:00"/>
    <n v="15"/>
    <x v="5"/>
    <x v="1"/>
    <s v="🚺"/>
    <n v="3"/>
    <x v="0"/>
    <x v="0"/>
    <s v="No aplica"/>
    <s v="5kg de cocaína"/>
    <x v="1"/>
    <x v="0"/>
    <s v="Abierto"/>
    <s v="97"/>
  </r>
  <r>
    <n v="702"/>
    <x v="641"/>
    <x v="641"/>
    <x v="641"/>
    <x v="5"/>
    <x v="159"/>
    <x v="10"/>
    <x v="10"/>
    <s v="-31,4285567311661, -64,1853198281007"/>
    <d v="1997-02-04T00:00:00"/>
    <n v="24"/>
    <x v="1"/>
    <x v="1"/>
    <s v="🚹"/>
    <x v="2"/>
    <d v="1996-05-04T00:00:00"/>
    <n v="24"/>
    <x v="3"/>
    <x v="1"/>
    <s v="🚺"/>
    <n v="1"/>
    <x v="0"/>
    <x v="0"/>
    <s v="No aplica"/>
    <s v="Grafitis en edificios públicos"/>
    <x v="0"/>
    <x v="1"/>
    <s v="En investigación"/>
    <s v="267"/>
  </r>
  <r>
    <n v="316"/>
    <x v="642"/>
    <x v="642"/>
    <x v="642"/>
    <x v="4"/>
    <x v="546"/>
    <x v="10"/>
    <x v="6"/>
    <s v="-31,3909520937826, -64,1836424491715"/>
    <d v="2002-07-12T00:00:00"/>
    <n v="19"/>
    <x v="1"/>
    <x v="0"/>
    <s v="🚺"/>
    <x v="2"/>
    <d v="1985-01-28T00:00:00"/>
    <n v="37"/>
    <x v="1"/>
    <x v="0"/>
    <s v="🚹"/>
    <n v="3"/>
    <x v="1"/>
    <x v="0"/>
    <s v="No aplica"/>
    <s v="Ropa de marca"/>
    <x v="1"/>
    <x v="0"/>
    <s v="En investigación"/>
    <s v="No aplica"/>
  </r>
  <r>
    <n v="753"/>
    <x v="642"/>
    <x v="642"/>
    <x v="642"/>
    <x v="4"/>
    <x v="2"/>
    <x v="4"/>
    <x v="8"/>
    <s v="-31,423018915313, -64,1493562190664"/>
    <d v="1977-07-14T00:00:00"/>
    <n v="44"/>
    <x v="6"/>
    <x v="1"/>
    <s v="🚹"/>
    <x v="1"/>
    <d v="1989-02-24T00:00:00"/>
    <n v="33"/>
    <x v="6"/>
    <x v="0"/>
    <s v="🚹"/>
    <n v="3"/>
    <x v="1"/>
    <x v="2"/>
    <s v="Con ensañamiento"/>
    <s v="No aplica"/>
    <x v="0"/>
    <x v="0"/>
    <s v="Abierto"/>
    <s v="No aplica"/>
  </r>
  <r>
    <n v="704"/>
    <x v="643"/>
    <x v="643"/>
    <x v="643"/>
    <x v="4"/>
    <x v="547"/>
    <x v="4"/>
    <x v="6"/>
    <s v="-31,3909520937826, -64,1836424491715"/>
    <d v="1979-05-07T00:00:00"/>
    <n v="43"/>
    <x v="6"/>
    <x v="1"/>
    <s v="🚹"/>
    <x v="0"/>
    <d v="1976-04-03T00:00:00"/>
    <n v="46"/>
    <x v="4"/>
    <x v="1"/>
    <s v="🚺"/>
    <n v="1"/>
    <x v="0"/>
    <x v="0"/>
    <s v="No aplica"/>
    <s v="Lavado de dinero"/>
    <x v="1"/>
    <x v="1"/>
    <s v="Abierto"/>
    <s v="221"/>
  </r>
  <r>
    <n v="709"/>
    <x v="644"/>
    <x v="644"/>
    <x v="644"/>
    <x v="3"/>
    <x v="136"/>
    <x v="0"/>
    <x v="0"/>
    <s v="-31,4800162965848, -64,2094200976892"/>
    <d v="2002-12-05T00:00:00"/>
    <n v="18"/>
    <x v="1"/>
    <x v="1"/>
    <s v="🚹"/>
    <x v="4"/>
    <d v="1968-02-19T00:00:00"/>
    <n v="53"/>
    <x v="4"/>
    <x v="1"/>
    <s v="🚺"/>
    <n v="1"/>
    <x v="0"/>
    <x v="2"/>
    <s v="No aplica"/>
    <s v="Auto modelo XXX, patente XXX XXX"/>
    <x v="1"/>
    <x v="0"/>
    <s v="Cerrado"/>
    <s v="208"/>
  </r>
  <r>
    <n v="657"/>
    <x v="645"/>
    <x v="645"/>
    <x v="645"/>
    <x v="2"/>
    <x v="548"/>
    <x v="8"/>
    <x v="2"/>
    <s v="-31,334500143441, -64,2460773260564"/>
    <d v="1957-11-22T00:00:00"/>
    <n v="64"/>
    <x v="5"/>
    <x v="0"/>
    <s v="🚺"/>
    <x v="2"/>
    <d v="2006-01-21T00:00:00"/>
    <n v="16"/>
    <x v="5"/>
    <x v="1"/>
    <s v="🚺"/>
    <n v="3"/>
    <x v="1"/>
    <x v="3"/>
    <s v="Por vínculo"/>
    <s v="No aplica"/>
    <x v="1"/>
    <x v="0"/>
    <s v="En investigación"/>
    <s v="No aplica"/>
  </r>
  <r>
    <n v="69"/>
    <x v="646"/>
    <x v="646"/>
    <x v="646"/>
    <x v="5"/>
    <x v="236"/>
    <x v="9"/>
    <x v="9"/>
    <s v="-31,4076397196409, -64,2020170430678"/>
    <d v="1981-01-11T00:00:00"/>
    <n v="41"/>
    <x v="6"/>
    <x v="0"/>
    <s v="🚺"/>
    <x v="1"/>
    <d v="1952-01-25T00:00:00"/>
    <n v="70"/>
    <x v="0"/>
    <x v="0"/>
    <s v="🚹"/>
    <n v="3"/>
    <x v="1"/>
    <x v="0"/>
    <s v="No aplica"/>
    <s v="5kg de cocaína"/>
    <x v="1"/>
    <x v="0"/>
    <s v="En investigación"/>
    <s v="No aplica"/>
  </r>
  <r>
    <n v="872"/>
    <x v="647"/>
    <x v="647"/>
    <x v="647"/>
    <x v="0"/>
    <x v="549"/>
    <x v="0"/>
    <x v="6"/>
    <s v="-31,3909520937826, -64,1836424491715"/>
    <d v="1961-06-26T00:00:00"/>
    <n v="60"/>
    <x v="5"/>
    <x v="1"/>
    <s v="🚹"/>
    <x v="2"/>
    <d v="2002-03-08T00:00:00"/>
    <n v="20"/>
    <x v="3"/>
    <x v="0"/>
    <s v="🚹"/>
    <n v="2"/>
    <x v="1"/>
    <x v="0"/>
    <s v="No aplica"/>
    <s v="Pasta base"/>
    <x v="1"/>
    <x v="1"/>
    <s v="En investigación"/>
    <s v="No aplica"/>
  </r>
  <r>
    <n v="24"/>
    <x v="648"/>
    <x v="648"/>
    <x v="648"/>
    <x v="1"/>
    <x v="227"/>
    <x v="4"/>
    <x v="11"/>
    <s v="-31,4506257494184, -64,1733054344705"/>
    <d v="1965-12-11T00:00:00"/>
    <n v="56"/>
    <x v="5"/>
    <x v="1"/>
    <s v="🚹"/>
    <x v="2"/>
    <d v="1949-04-24T00:00:00"/>
    <n v="73"/>
    <x v="0"/>
    <x v="1"/>
    <s v="🚺"/>
    <n v="2"/>
    <x v="1"/>
    <x v="0"/>
    <s v="No aplica"/>
    <s v="Cuentas falsas"/>
    <x v="1"/>
    <x v="0"/>
    <s v="Abierto"/>
    <s v="No aplica"/>
  </r>
  <r>
    <n v="628"/>
    <x v="649"/>
    <x v="649"/>
    <x v="649"/>
    <x v="6"/>
    <x v="550"/>
    <x v="11"/>
    <x v="11"/>
    <s v="-31,4506257494184, -64,1733054344705"/>
    <d v="1985-08-25T00:00:00"/>
    <n v="36"/>
    <x v="6"/>
    <x v="0"/>
    <s v="🚺"/>
    <x v="4"/>
    <d v="1997-04-04T00:00:00"/>
    <n v="25"/>
    <x v="3"/>
    <x v="0"/>
    <s v="🚹"/>
    <n v="2"/>
    <x v="1"/>
    <x v="0"/>
    <s v="No aplica"/>
    <s v="No aplica"/>
    <x v="1"/>
    <x v="1"/>
    <s v="Cerrado"/>
    <s v="No aplica"/>
  </r>
  <r>
    <n v="739"/>
    <x v="650"/>
    <x v="650"/>
    <x v="650"/>
    <x v="1"/>
    <x v="551"/>
    <x v="6"/>
    <x v="1"/>
    <s v="-31,4129883640337, -64,1681120522587"/>
    <d v="1984-07-11T00:00:00"/>
    <n v="37"/>
    <x v="6"/>
    <x v="1"/>
    <s v="🚹"/>
    <x v="0"/>
    <d v="1986-06-11T00:00:00"/>
    <n v="35"/>
    <x v="6"/>
    <x v="1"/>
    <s v="🚺"/>
    <n v="2"/>
    <x v="1"/>
    <x v="0"/>
    <s v="No aplica"/>
    <s v="No aplica"/>
    <x v="1"/>
    <x v="1"/>
    <s v="Cerrado"/>
    <s v="No aplica"/>
  </r>
  <r>
    <n v="66"/>
    <x v="651"/>
    <x v="651"/>
    <x v="651"/>
    <x v="3"/>
    <x v="356"/>
    <x v="1"/>
    <x v="6"/>
    <s v="-31,3909520937826, -64,1836424491715"/>
    <d v="1964-02-28T00:00:00"/>
    <n v="58"/>
    <x v="5"/>
    <x v="1"/>
    <s v="🚹"/>
    <x v="4"/>
    <d v="1999-02-27T00:00:00"/>
    <n v="23"/>
    <x v="3"/>
    <x v="0"/>
    <s v="🚹"/>
    <n v="2"/>
    <x v="1"/>
    <x v="0"/>
    <s v="Alevosía"/>
    <s v="No aplica"/>
    <x v="0"/>
    <x v="0"/>
    <s v="Cerrado"/>
    <s v="No aplica"/>
  </r>
  <r>
    <n v="710"/>
    <x v="652"/>
    <x v="652"/>
    <x v="652"/>
    <x v="3"/>
    <x v="552"/>
    <x v="10"/>
    <x v="6"/>
    <s v="-31,3909520937826, -64,1836424491715"/>
    <d v="1955-01-09T00:00:00"/>
    <n v="68"/>
    <x v="4"/>
    <x v="1"/>
    <s v="🚹"/>
    <x v="2"/>
    <d v="1996-02-18T00:00:00"/>
    <n v="27"/>
    <x v="6"/>
    <x v="1"/>
    <s v="🚺"/>
    <n v="1"/>
    <x v="0"/>
    <x v="0"/>
    <s v="No aplica"/>
    <s v="No aplica"/>
    <x v="1"/>
    <x v="0"/>
    <s v="Cerrado"/>
    <s v="78"/>
  </r>
  <r>
    <n v="384"/>
    <x v="653"/>
    <x v="653"/>
    <x v="653"/>
    <x v="6"/>
    <x v="275"/>
    <x v="2"/>
    <x v="5"/>
    <s v="-31,3477902896523, -64,2644406169297"/>
    <d v="1977-04-04T00:00:00"/>
    <n v="45"/>
    <x v="6"/>
    <x v="0"/>
    <s v="🚺"/>
    <x v="1"/>
    <d v="2003-08-01T00:00:00"/>
    <n v="18"/>
    <x v="3"/>
    <x v="0"/>
    <s v="🚹"/>
    <n v="1"/>
    <x v="1"/>
    <x v="0"/>
    <s v="No aplica"/>
    <s v="No aplica"/>
    <x v="1"/>
    <x v="0"/>
    <s v="En investigación"/>
    <s v="No aplica"/>
  </r>
  <r>
    <n v="629"/>
    <x v="654"/>
    <x v="654"/>
    <x v="654"/>
    <x v="2"/>
    <x v="278"/>
    <x v="11"/>
    <x v="9"/>
    <s v="-31,4076397196409, -64,2020170430678"/>
    <d v="1989-10-02T00:00:00"/>
    <n v="32"/>
    <x v="3"/>
    <x v="1"/>
    <s v="🚹"/>
    <x v="3"/>
    <d v="1943-12-26T00:00:00"/>
    <n v="78"/>
    <x v="0"/>
    <x v="0"/>
    <s v="🚹"/>
    <n v="3"/>
    <x v="1"/>
    <x v="0"/>
    <s v="Con ensañamiento"/>
    <s v="No aplica"/>
    <x v="1"/>
    <x v="1"/>
    <s v="Abierto"/>
    <s v="No aplica"/>
  </r>
  <r>
    <n v="527"/>
    <x v="655"/>
    <x v="655"/>
    <x v="655"/>
    <x v="2"/>
    <x v="518"/>
    <x v="10"/>
    <x v="2"/>
    <s v="-31,334500143441, -64,2460773260564"/>
    <d v="1953-12-06T00:00:00"/>
    <n v="68"/>
    <x v="4"/>
    <x v="1"/>
    <s v="🚹"/>
    <x v="1"/>
    <d v="1972-06-22T00:00:00"/>
    <n v="50"/>
    <x v="4"/>
    <x v="1"/>
    <s v="🚺"/>
    <n v="1"/>
    <x v="1"/>
    <x v="0"/>
    <s v="No aplica"/>
    <s v="Cartera con documentación"/>
    <x v="1"/>
    <x v="1"/>
    <s v="Cerrado"/>
    <s v="No aplica"/>
  </r>
  <r>
    <n v="711"/>
    <x v="656"/>
    <x v="656"/>
    <x v="656"/>
    <x v="3"/>
    <x v="210"/>
    <x v="5"/>
    <x v="8"/>
    <s v="-31,423018915313, -64,1493562190664"/>
    <d v="2001-01-01T00:00:00"/>
    <n v="19"/>
    <x v="1"/>
    <x v="0"/>
    <s v="🚺"/>
    <x v="4"/>
    <d v="1996-06-05T00:00:00"/>
    <n v="24"/>
    <x v="3"/>
    <x v="1"/>
    <s v="🚺"/>
    <n v="3"/>
    <x v="0"/>
    <x v="0"/>
    <s v="No aplica"/>
    <s v="No aplica"/>
    <x v="1"/>
    <x v="1"/>
    <s v="Cerrado"/>
    <s v="255"/>
  </r>
  <r>
    <n v="289"/>
    <x v="657"/>
    <x v="657"/>
    <x v="657"/>
    <x v="1"/>
    <x v="553"/>
    <x v="6"/>
    <x v="11"/>
    <s v="-31,4506257494184, -64,1733054344705"/>
    <d v="2004-06-20T00:00:00"/>
    <n v="18"/>
    <x v="1"/>
    <x v="1"/>
    <s v="🚹"/>
    <x v="1"/>
    <d v="1945-12-27T00:00:00"/>
    <n v="76"/>
    <x v="0"/>
    <x v="1"/>
    <s v="🚺"/>
    <n v="3"/>
    <x v="1"/>
    <x v="0"/>
    <s v="Por vínculo"/>
    <s v="No aplica"/>
    <x v="1"/>
    <x v="0"/>
    <s v="Cerrado"/>
    <s v="No aplica"/>
  </r>
  <r>
    <n v="358"/>
    <x v="658"/>
    <x v="658"/>
    <x v="658"/>
    <x v="3"/>
    <x v="554"/>
    <x v="10"/>
    <x v="9"/>
    <s v="-31,4076397196409, -64,2020170430678"/>
    <d v="1951-03-11T00:00:00"/>
    <n v="71"/>
    <x v="4"/>
    <x v="1"/>
    <s v="🚹"/>
    <x v="2"/>
    <d v="1944-09-23T00:00:00"/>
    <n v="77"/>
    <x v="0"/>
    <x v="1"/>
    <s v="🚺"/>
    <n v="1"/>
    <x v="1"/>
    <x v="0"/>
    <s v="No aplica"/>
    <s v="Lavado de dinero"/>
    <x v="1"/>
    <x v="1"/>
    <s v="Cerrado"/>
    <s v="No aplica"/>
  </r>
  <r>
    <n v="154"/>
    <x v="659"/>
    <x v="659"/>
    <x v="659"/>
    <x v="5"/>
    <x v="137"/>
    <x v="9"/>
    <x v="1"/>
    <s v="-31,4129883640337, -64,1681120522587"/>
    <d v="1969-09-09T00:00:00"/>
    <n v="52"/>
    <x v="0"/>
    <x v="0"/>
    <s v="🚺"/>
    <x v="2"/>
    <d v="1977-12-20T00:00:00"/>
    <n v="44"/>
    <x v="1"/>
    <x v="0"/>
    <s v="🚹"/>
    <n v="3"/>
    <x v="1"/>
    <x v="0"/>
    <s v="No aplica"/>
    <s v="Grafitis en edificios públicos"/>
    <x v="1"/>
    <x v="0"/>
    <s v="Cerrado"/>
    <s v="No aplica"/>
  </r>
  <r>
    <n v="29"/>
    <x v="660"/>
    <x v="660"/>
    <x v="660"/>
    <x v="0"/>
    <x v="555"/>
    <x v="11"/>
    <x v="7"/>
    <s v="-31,4015892433235, -64,160442876477"/>
    <d v="1995-07-19T00:00:00"/>
    <n v="26"/>
    <x v="3"/>
    <x v="1"/>
    <s v="🚹"/>
    <x v="0"/>
    <d v="2012-05-10T00:00:00"/>
    <n v="10"/>
    <x v="5"/>
    <x v="1"/>
    <s v="🚺"/>
    <n v="2"/>
    <x v="1"/>
    <x v="0"/>
    <s v="No aplica"/>
    <s v="Ropa de marca"/>
    <x v="0"/>
    <x v="0"/>
    <s v="Cerrado"/>
    <s v="No aplica"/>
  </r>
  <r>
    <n v="528"/>
    <x v="661"/>
    <x v="661"/>
    <x v="661"/>
    <x v="6"/>
    <x v="130"/>
    <x v="9"/>
    <x v="4"/>
    <s v="-31,3759272890294, -64,2284587792478"/>
    <d v="1976-07-07T00:00:00"/>
    <n v="46"/>
    <x v="0"/>
    <x v="1"/>
    <s v="🚹"/>
    <x v="4"/>
    <d v="2015-06-19T00:00:00"/>
    <n v="7"/>
    <x v="5"/>
    <x v="0"/>
    <s v="🚹"/>
    <n v="3"/>
    <x v="1"/>
    <x v="3"/>
    <s v="No aplica"/>
    <s v="Celular, tarjetas bancarias"/>
    <x v="1"/>
    <x v="1"/>
    <s v="En investigación"/>
    <s v="No aplica"/>
  </r>
  <r>
    <n v="712"/>
    <x v="241"/>
    <x v="241"/>
    <x v="241"/>
    <x v="3"/>
    <x v="556"/>
    <x v="4"/>
    <x v="2"/>
    <s v="-31,334500143441, -64,2460773260564"/>
    <d v="1982-12-06T00:00:00"/>
    <n v="34"/>
    <x v="3"/>
    <x v="0"/>
    <s v="🚺"/>
    <x v="2"/>
    <d v="1947-03-12T00:00:00"/>
    <n v="70"/>
    <x v="0"/>
    <x v="0"/>
    <s v="🚹"/>
    <n v="1"/>
    <x v="0"/>
    <x v="0"/>
    <s v="No aplica"/>
    <s v="Cartera con documentación"/>
    <x v="1"/>
    <x v="0"/>
    <s v="Cerrado"/>
    <s v="125"/>
  </r>
  <r>
    <n v="988"/>
    <x v="662"/>
    <x v="662"/>
    <x v="662"/>
    <x v="5"/>
    <x v="557"/>
    <x v="6"/>
    <x v="3"/>
    <s v="-31,4148488101991, -64,1793406489438"/>
    <d v="1950-10-21T00:00:00"/>
    <n v="71"/>
    <x v="4"/>
    <x v="1"/>
    <s v="🚹"/>
    <x v="4"/>
    <d v="1994-02-17T00:00:00"/>
    <n v="28"/>
    <x v="6"/>
    <x v="1"/>
    <s v="🚺"/>
    <n v="1"/>
    <x v="1"/>
    <x v="0"/>
    <s v="No aplica"/>
    <s v="Evasión fiscal"/>
    <x v="1"/>
    <x v="0"/>
    <s v="En investigación"/>
    <s v="No aplica"/>
  </r>
  <r>
    <n v="713"/>
    <x v="663"/>
    <x v="663"/>
    <x v="663"/>
    <x v="4"/>
    <x v="310"/>
    <x v="3"/>
    <x v="4"/>
    <s v="-31,3759272890294, -64,2284587792478"/>
    <d v="1994-04-06T00:00:00"/>
    <n v="20"/>
    <x v="1"/>
    <x v="0"/>
    <s v="🚺"/>
    <x v="3"/>
    <d v="1978-07-06T00:00:00"/>
    <n v="36"/>
    <x v="1"/>
    <x v="0"/>
    <s v="🚹"/>
    <n v="3"/>
    <x v="0"/>
    <x v="0"/>
    <s v="Por vínculo"/>
    <s v="No aplica"/>
    <x v="1"/>
    <x v="0"/>
    <s v="En investigación"/>
    <s v="94"/>
  </r>
  <r>
    <n v="449"/>
    <x v="664"/>
    <x v="664"/>
    <x v="664"/>
    <x v="5"/>
    <x v="354"/>
    <x v="4"/>
    <x v="4"/>
    <s v="-31,3759272890294, -64,2284587792478"/>
    <d v="1964-01-25T00:00:00"/>
    <n v="58"/>
    <x v="5"/>
    <x v="0"/>
    <s v="🚺"/>
    <x v="2"/>
    <d v="1948-04-15T00:00:00"/>
    <n v="74"/>
    <x v="0"/>
    <x v="1"/>
    <s v="🚺"/>
    <n v="1"/>
    <x v="1"/>
    <x v="0"/>
    <s v="No aplica"/>
    <s v="Plantas de marihuana"/>
    <x v="1"/>
    <x v="1"/>
    <s v="Cerrado"/>
    <s v="No aplica"/>
  </r>
  <r>
    <n v="400"/>
    <x v="665"/>
    <x v="665"/>
    <x v="665"/>
    <x v="2"/>
    <x v="558"/>
    <x v="10"/>
    <x v="1"/>
    <s v="-31,4129883640337, -64,1681120522587"/>
    <d v="1987-01-27T00:00:00"/>
    <n v="35"/>
    <x v="3"/>
    <x v="1"/>
    <s v="🚹"/>
    <x v="3"/>
    <d v="1959-07-24T00:00:00"/>
    <n v="63"/>
    <x v="2"/>
    <x v="0"/>
    <s v="🚹"/>
    <n v="1"/>
    <x v="1"/>
    <x v="0"/>
    <s v="Con ensañamiento"/>
    <s v="No aplica"/>
    <x v="1"/>
    <x v="0"/>
    <s v="Cerrado"/>
    <s v="No aplica"/>
  </r>
  <r>
    <n v="715"/>
    <x v="666"/>
    <x v="666"/>
    <x v="666"/>
    <x v="6"/>
    <x v="176"/>
    <x v="2"/>
    <x v="10"/>
    <s v="-31,4285567311661, -64,1853198281007"/>
    <d v="2001-04-04T00:00:00"/>
    <n v="16"/>
    <x v="2"/>
    <x v="0"/>
    <s v="🚺"/>
    <x v="1"/>
    <d v="1964-11-16T00:00:00"/>
    <n v="52"/>
    <x v="4"/>
    <x v="0"/>
    <s v="🚹"/>
    <n v="1"/>
    <x v="0"/>
    <x v="2"/>
    <s v="No aplica"/>
    <s v="Celular, tarjetas bancarias"/>
    <x v="1"/>
    <x v="0"/>
    <s v="Abierto"/>
    <s v="19"/>
  </r>
  <r>
    <n v="168"/>
    <x v="667"/>
    <x v="667"/>
    <x v="667"/>
    <x v="2"/>
    <x v="172"/>
    <x v="8"/>
    <x v="11"/>
    <s v="-31,4506257494184, -64,1733054344705"/>
    <d v="1966-01-16T00:00:00"/>
    <n v="56"/>
    <x v="5"/>
    <x v="0"/>
    <s v="🚺"/>
    <x v="1"/>
    <d v="1966-07-07T00:00:00"/>
    <n v="56"/>
    <x v="2"/>
    <x v="1"/>
    <s v="🚺"/>
    <n v="1"/>
    <x v="1"/>
    <x v="0"/>
    <s v="No aplica"/>
    <s v="Grafitis en edificios públicos"/>
    <x v="1"/>
    <x v="1"/>
    <s v="Abierto"/>
    <s v="No aplica"/>
  </r>
  <r>
    <n v="716"/>
    <x v="668"/>
    <x v="668"/>
    <x v="668"/>
    <x v="0"/>
    <x v="559"/>
    <x v="4"/>
    <x v="4"/>
    <s v="-31,3759272890294, -64,2284587792478"/>
    <d v="1961-08-11T00:00:00"/>
    <n v="57"/>
    <x v="5"/>
    <x v="1"/>
    <s v="🚹"/>
    <x v="4"/>
    <d v="1984-11-28T00:00:00"/>
    <n v="33"/>
    <x v="6"/>
    <x v="0"/>
    <s v="🚹"/>
    <n v="2"/>
    <x v="0"/>
    <x v="0"/>
    <s v="Con ensañamiento"/>
    <s v="No aplica"/>
    <x v="1"/>
    <x v="0"/>
    <s v="Cerrado"/>
    <s v="136"/>
  </r>
  <r>
    <n v="23"/>
    <x v="669"/>
    <x v="669"/>
    <x v="669"/>
    <x v="4"/>
    <x v="560"/>
    <x v="5"/>
    <x v="10"/>
    <s v="-31,4285567311661, -64,1853198281007"/>
    <d v="1980-07-16T00:00:00"/>
    <n v="42"/>
    <x v="6"/>
    <x v="1"/>
    <s v="🚹"/>
    <x v="4"/>
    <d v="1963-01-03T00:00:00"/>
    <n v="59"/>
    <x v="2"/>
    <x v="0"/>
    <s v="🚹"/>
    <n v="1"/>
    <x v="1"/>
    <x v="0"/>
    <s v="No aplica"/>
    <s v="No aplica"/>
    <x v="1"/>
    <x v="0"/>
    <s v="Cerrado"/>
    <s v="No aplica"/>
  </r>
  <r>
    <n v="718"/>
    <x v="133"/>
    <x v="133"/>
    <x v="133"/>
    <x v="4"/>
    <x v="561"/>
    <x v="10"/>
    <x v="8"/>
    <s v="-31,423018915313, -64,1493562190664"/>
    <d v="1968-06-03T00:00:00"/>
    <n v="54"/>
    <x v="0"/>
    <x v="1"/>
    <s v="🚹"/>
    <x v="3"/>
    <d v="1992-02-25T00:00:00"/>
    <n v="30"/>
    <x v="6"/>
    <x v="0"/>
    <s v="🚹"/>
    <n v="1"/>
    <x v="0"/>
    <x v="0"/>
    <s v="No aplica"/>
    <s v="No aplica"/>
    <x v="1"/>
    <x v="0"/>
    <s v="Cerrado"/>
    <s v="210"/>
  </r>
  <r>
    <n v="722"/>
    <x v="670"/>
    <x v="670"/>
    <x v="670"/>
    <x v="2"/>
    <x v="562"/>
    <x v="11"/>
    <x v="7"/>
    <s v="-31,4015892433235, -64,160442876477"/>
    <d v="1984-08-05T00:00:00"/>
    <n v="32"/>
    <x v="3"/>
    <x v="1"/>
    <s v="🚹"/>
    <x v="2"/>
    <d v="2009-03-28T00:00:00"/>
    <n v="8"/>
    <x v="5"/>
    <x v="1"/>
    <s v="🚺"/>
    <n v="2"/>
    <x v="0"/>
    <x v="0"/>
    <s v="No aplica"/>
    <s v="Lavado de dinero"/>
    <x v="1"/>
    <x v="0"/>
    <s v="Cerrado"/>
    <s v="256"/>
  </r>
  <r>
    <n v="85"/>
    <x v="671"/>
    <x v="671"/>
    <x v="671"/>
    <x v="2"/>
    <x v="385"/>
    <x v="3"/>
    <x v="8"/>
    <s v="-31,423018915313, -64,1493562190664"/>
    <d v="1961-01-21T00:00:00"/>
    <n v="61"/>
    <x v="5"/>
    <x v="0"/>
    <s v="🚺"/>
    <x v="2"/>
    <d v="1946-12-25T00:00:00"/>
    <n v="75"/>
    <x v="0"/>
    <x v="0"/>
    <s v="🚹"/>
    <n v="1"/>
    <x v="1"/>
    <x v="0"/>
    <s v="No aplica"/>
    <s v="Grafitis en edificios públicos"/>
    <x v="1"/>
    <x v="0"/>
    <s v="Cerrado"/>
    <s v="No aplica"/>
  </r>
  <r>
    <n v="430"/>
    <x v="671"/>
    <x v="671"/>
    <x v="671"/>
    <x v="2"/>
    <x v="79"/>
    <x v="2"/>
    <x v="11"/>
    <s v="-31,4506257494184, -64,1733054344705"/>
    <d v="1998-10-27T00:00:00"/>
    <n v="23"/>
    <x v="1"/>
    <x v="1"/>
    <s v="🚹"/>
    <x v="2"/>
    <d v="1944-11-28T00:00:00"/>
    <n v="77"/>
    <x v="0"/>
    <x v="0"/>
    <s v="🚹"/>
    <n v="1"/>
    <x v="1"/>
    <x v="0"/>
    <s v="No aplica"/>
    <s v="Contrato fraudulento"/>
    <x v="1"/>
    <x v="0"/>
    <s v="Abierto"/>
    <s v="No aplica"/>
  </r>
  <r>
    <n v="724"/>
    <x v="672"/>
    <x v="672"/>
    <x v="672"/>
    <x v="3"/>
    <x v="563"/>
    <x v="3"/>
    <x v="1"/>
    <s v="-31,4129883640337, -64,1681120522587"/>
    <d v="1964-05-06T00:00:00"/>
    <n v="51"/>
    <x v="0"/>
    <x v="0"/>
    <s v="🚺"/>
    <x v="4"/>
    <d v="1974-04-14T00:00:00"/>
    <n v="41"/>
    <x v="1"/>
    <x v="1"/>
    <s v="🚺"/>
    <n v="2"/>
    <x v="0"/>
    <x v="1"/>
    <s v="No aplica"/>
    <s v="Auto modelo XXX, patente XXX XXX"/>
    <x v="1"/>
    <x v="1"/>
    <s v="En investigación"/>
    <s v="295"/>
  </r>
  <r>
    <n v="725"/>
    <x v="673"/>
    <x v="673"/>
    <x v="673"/>
    <x v="6"/>
    <x v="154"/>
    <x v="0"/>
    <x v="10"/>
    <s v="-31,4285567311661, -64,1853198281007"/>
    <d v="1957-09-19T00:00:00"/>
    <n v="57"/>
    <x v="5"/>
    <x v="1"/>
    <s v="🚹"/>
    <x v="4"/>
    <d v="1950-03-02T00:00:00"/>
    <n v="65"/>
    <x v="0"/>
    <x v="1"/>
    <s v="🚺"/>
    <n v="1"/>
    <x v="0"/>
    <x v="0"/>
    <s v="No aplica"/>
    <s v="Plantas de marihuana"/>
    <x v="1"/>
    <x v="0"/>
    <s v="Cerrado"/>
    <s v="281"/>
  </r>
  <r>
    <n v="727"/>
    <x v="264"/>
    <x v="264"/>
    <x v="264"/>
    <x v="6"/>
    <x v="511"/>
    <x v="10"/>
    <x v="0"/>
    <s v="-31,4800162965848, -64,2094200976892"/>
    <d v="2002-04-25T00:00:00"/>
    <n v="20"/>
    <x v="1"/>
    <x v="1"/>
    <s v="🚹"/>
    <x v="4"/>
    <d v="1998-04-07T00:00:00"/>
    <n v="24"/>
    <x v="3"/>
    <x v="1"/>
    <s v="🚺"/>
    <n v="2"/>
    <x v="0"/>
    <x v="0"/>
    <s v="No aplica"/>
    <s v="Grafitis en edificios públicos"/>
    <x v="0"/>
    <x v="1"/>
    <s v="Cerrado"/>
    <s v="288"/>
  </r>
  <r>
    <n v="647"/>
    <x v="203"/>
    <x v="203"/>
    <x v="203"/>
    <x v="5"/>
    <x v="564"/>
    <x v="2"/>
    <x v="2"/>
    <s v="-31,334500143441, -64,2460773260564"/>
    <d v="2006-07-19T00:00:00"/>
    <n v="16"/>
    <x v="2"/>
    <x v="1"/>
    <s v="🚹"/>
    <x v="2"/>
    <d v="1952-05-19T00:00:00"/>
    <n v="70"/>
    <x v="0"/>
    <x v="1"/>
    <s v="🚺"/>
    <n v="2"/>
    <x v="1"/>
    <x v="0"/>
    <s v="No aplica"/>
    <s v="Grafitis en edificios públicos"/>
    <x v="1"/>
    <x v="0"/>
    <s v="En investigación"/>
    <s v="No aplica"/>
  </r>
  <r>
    <n v="728"/>
    <x v="170"/>
    <x v="170"/>
    <x v="170"/>
    <x v="5"/>
    <x v="542"/>
    <x v="4"/>
    <x v="2"/>
    <s v="-31,334500143441, -64,2460773260564"/>
    <d v="2006-08-26T00:00:00"/>
    <n v="10"/>
    <x v="2"/>
    <x v="0"/>
    <s v="🚺"/>
    <x v="2"/>
    <d v="1991-12-19T00:00:00"/>
    <n v="25"/>
    <x v="3"/>
    <x v="0"/>
    <s v="🚹"/>
    <n v="1"/>
    <x v="0"/>
    <x v="4"/>
    <s v="No aplica"/>
    <s v="Auto modelo XXX, patente XXX XXX"/>
    <x v="1"/>
    <x v="1"/>
    <s v="En investigación"/>
    <s v="142"/>
  </r>
  <r>
    <n v="955"/>
    <x v="674"/>
    <x v="674"/>
    <x v="674"/>
    <x v="5"/>
    <x v="565"/>
    <x v="6"/>
    <x v="5"/>
    <s v="-31,3477902896523, -64,2644406169297"/>
    <d v="1979-05-27T00:00:00"/>
    <n v="43"/>
    <x v="6"/>
    <x v="1"/>
    <s v="🚹"/>
    <x v="4"/>
    <d v="1940-03-27T00:00:00"/>
    <n v="82"/>
    <x v="0"/>
    <x v="1"/>
    <s v="🚺"/>
    <n v="3"/>
    <x v="1"/>
    <x v="0"/>
    <s v="No aplica"/>
    <s v="Evasión fiscal"/>
    <x v="0"/>
    <x v="0"/>
    <s v="Abierto"/>
    <s v="No aplica"/>
  </r>
  <r>
    <n v="68"/>
    <x v="675"/>
    <x v="675"/>
    <x v="675"/>
    <x v="0"/>
    <x v="528"/>
    <x v="4"/>
    <x v="5"/>
    <s v="-31,3477902896523, -64,2644406169297"/>
    <d v="2005-05-07T00:00:00"/>
    <n v="17"/>
    <x v="2"/>
    <x v="1"/>
    <s v="🚹"/>
    <x v="1"/>
    <d v="2003-07-21T00:00:00"/>
    <n v="19"/>
    <x v="3"/>
    <x v="0"/>
    <s v="🚹"/>
    <n v="1"/>
    <x v="1"/>
    <x v="0"/>
    <s v="No aplica"/>
    <s v="Lavado de dinero"/>
    <x v="1"/>
    <x v="0"/>
    <s v="En investigación"/>
    <s v="No aplica"/>
  </r>
  <r>
    <n v="729"/>
    <x v="676"/>
    <x v="676"/>
    <x v="676"/>
    <x v="0"/>
    <x v="566"/>
    <x v="2"/>
    <x v="7"/>
    <s v="-31,4015892433235, -64,160442876477"/>
    <d v="1982-05-27T00:00:00"/>
    <n v="40"/>
    <x v="6"/>
    <x v="1"/>
    <s v="🚹"/>
    <x v="1"/>
    <d v="2001-10-16T00:00:00"/>
    <n v="20"/>
    <x v="3"/>
    <x v="1"/>
    <s v="🚺"/>
    <n v="2"/>
    <x v="0"/>
    <x v="0"/>
    <s v="No aplica"/>
    <s v="Vidrios de comercio rotos"/>
    <x v="1"/>
    <x v="0"/>
    <s v="Cerrado"/>
    <s v="286"/>
  </r>
  <r>
    <n v="195"/>
    <x v="677"/>
    <x v="677"/>
    <x v="677"/>
    <x v="0"/>
    <x v="567"/>
    <x v="4"/>
    <x v="3"/>
    <s v="-31,4148488101991, -64,1793406489438"/>
    <d v="1976-06-21T00:00:00"/>
    <n v="46"/>
    <x v="0"/>
    <x v="1"/>
    <s v="🚹"/>
    <x v="2"/>
    <d v="1969-01-09T00:00:00"/>
    <n v="53"/>
    <x v="4"/>
    <x v="1"/>
    <s v="🚺"/>
    <n v="1"/>
    <x v="1"/>
    <x v="0"/>
    <s v="Alevosía"/>
    <s v="No aplica"/>
    <x v="0"/>
    <x v="1"/>
    <s v="Abierto"/>
    <s v="No aplica"/>
  </r>
  <r>
    <n v="730"/>
    <x v="678"/>
    <x v="678"/>
    <x v="678"/>
    <x v="6"/>
    <x v="568"/>
    <x v="3"/>
    <x v="7"/>
    <s v="-31,4015892433235, -64,160442876477"/>
    <d v="1997-07-09T00:00:00"/>
    <n v="18"/>
    <x v="1"/>
    <x v="1"/>
    <s v="🚹"/>
    <x v="2"/>
    <d v="2001-04-17T00:00:00"/>
    <n v="15"/>
    <x v="5"/>
    <x v="0"/>
    <s v="🚹"/>
    <n v="1"/>
    <x v="0"/>
    <x v="0"/>
    <s v="No aplica"/>
    <s v="Grafitis en edificios públicos"/>
    <x v="0"/>
    <x v="1"/>
    <s v="Abierto"/>
    <s v="165"/>
  </r>
  <r>
    <n v="731"/>
    <x v="292"/>
    <x v="292"/>
    <x v="292"/>
    <x v="5"/>
    <x v="569"/>
    <x v="8"/>
    <x v="4"/>
    <s v="-31,3759272890294, -64,2284587792478"/>
    <d v="2006-02-26T00:00:00"/>
    <n v="17"/>
    <x v="2"/>
    <x v="0"/>
    <s v="🚺"/>
    <x v="2"/>
    <d v="2009-02-27T00:00:00"/>
    <n v="14"/>
    <x v="5"/>
    <x v="1"/>
    <s v="🚺"/>
    <n v="3"/>
    <x v="0"/>
    <x v="0"/>
    <s v="No aplica"/>
    <s v="Estafa bancaria"/>
    <x v="1"/>
    <x v="1"/>
    <s v="Cerrado"/>
    <s v="262"/>
  </r>
  <r>
    <n v="733"/>
    <x v="679"/>
    <x v="679"/>
    <x v="679"/>
    <x v="2"/>
    <x v="570"/>
    <x v="7"/>
    <x v="11"/>
    <s v="-31,4506257494184, -64,1733054344705"/>
    <d v="1992-02-09T00:00:00"/>
    <n v="24"/>
    <x v="1"/>
    <x v="1"/>
    <s v="🚹"/>
    <x v="2"/>
    <d v="1964-06-27T00:00:00"/>
    <n v="52"/>
    <x v="4"/>
    <x v="1"/>
    <s v="🚺"/>
    <n v="1"/>
    <x v="0"/>
    <x v="0"/>
    <s v="No aplica"/>
    <s v="Grafitis en edificios públicos"/>
    <x v="1"/>
    <x v="0"/>
    <s v="Abierto"/>
    <s v="89"/>
  </r>
  <r>
    <n v="734"/>
    <x v="680"/>
    <x v="680"/>
    <x v="680"/>
    <x v="6"/>
    <x v="571"/>
    <x v="7"/>
    <x v="1"/>
    <s v="-31,4129883640337, -64,1681120522587"/>
    <d v="1983-06-06T00:00:00"/>
    <n v="36"/>
    <x v="6"/>
    <x v="1"/>
    <s v="🚹"/>
    <x v="0"/>
    <d v="1947-10-07T00:00:00"/>
    <n v="71"/>
    <x v="0"/>
    <x v="0"/>
    <s v="🚹"/>
    <n v="3"/>
    <x v="0"/>
    <x v="0"/>
    <s v="No aplica"/>
    <s v="Contrato fraudulento"/>
    <x v="1"/>
    <x v="1"/>
    <s v="Cerrado"/>
    <s v="255"/>
  </r>
  <r>
    <n v="743"/>
    <x v="681"/>
    <x v="681"/>
    <x v="681"/>
    <x v="0"/>
    <x v="572"/>
    <x v="7"/>
    <x v="6"/>
    <s v="-31,3909520937826, -64,1836424491715"/>
    <d v="1963-01-03T00:00:00"/>
    <n v="55"/>
    <x v="0"/>
    <x v="1"/>
    <s v="🚹"/>
    <x v="0"/>
    <d v="1998-09-10T00:00:00"/>
    <n v="19"/>
    <x v="3"/>
    <x v="1"/>
    <s v="🚺"/>
    <n v="1"/>
    <x v="0"/>
    <x v="0"/>
    <s v="No aplica"/>
    <s v="5kg de cocaína"/>
    <x v="0"/>
    <x v="0"/>
    <s v="Cerrado"/>
    <s v="93"/>
  </r>
  <r>
    <n v="495"/>
    <x v="682"/>
    <x v="682"/>
    <x v="682"/>
    <x v="3"/>
    <x v="573"/>
    <x v="2"/>
    <x v="8"/>
    <s v="-31,423018915313, -64,1493562190664"/>
    <d v="1956-06-25T00:00:00"/>
    <n v="66"/>
    <x v="4"/>
    <x v="1"/>
    <s v="🚹"/>
    <x v="1"/>
    <d v="1968-12-27T00:00:00"/>
    <n v="53"/>
    <x v="4"/>
    <x v="1"/>
    <s v="🚺"/>
    <n v="3"/>
    <x v="1"/>
    <x v="2"/>
    <s v="No aplica"/>
    <s v="Laptop marca HP"/>
    <x v="0"/>
    <x v="0"/>
    <s v="Abierto"/>
    <s v="No aplica"/>
  </r>
  <r>
    <n v="320"/>
    <x v="683"/>
    <x v="683"/>
    <x v="683"/>
    <x v="4"/>
    <x v="574"/>
    <x v="0"/>
    <x v="3"/>
    <s v="-31,4148488101991, -64,1793406489438"/>
    <d v="1987-07-01T00:00:00"/>
    <n v="35"/>
    <x v="3"/>
    <x v="0"/>
    <s v="🚺"/>
    <x v="3"/>
    <d v="1969-01-27T00:00:00"/>
    <n v="53"/>
    <x v="4"/>
    <x v="0"/>
    <s v="🚹"/>
    <n v="3"/>
    <x v="1"/>
    <x v="0"/>
    <s v="No aplica"/>
    <s v="Plantas de marihuana"/>
    <x v="0"/>
    <x v="0"/>
    <s v="Cerrado"/>
    <s v="No aplica"/>
  </r>
  <r>
    <n v="744"/>
    <x v="671"/>
    <x v="671"/>
    <x v="671"/>
    <x v="2"/>
    <x v="575"/>
    <x v="8"/>
    <x v="5"/>
    <s v="-31,3477902896523, -64,2644406169297"/>
    <d v="1983-09-23T00:00:00"/>
    <n v="38"/>
    <x v="6"/>
    <x v="1"/>
    <s v="🚹"/>
    <x v="4"/>
    <d v="2012-05-22T00:00:00"/>
    <n v="10"/>
    <x v="5"/>
    <x v="1"/>
    <s v="🚺"/>
    <n v="1"/>
    <x v="0"/>
    <x v="0"/>
    <s v="No aplica"/>
    <s v="Evasión fiscal"/>
    <x v="0"/>
    <x v="1"/>
    <s v="Cerrado"/>
    <s v="73"/>
  </r>
  <r>
    <n v="748"/>
    <x v="684"/>
    <x v="684"/>
    <x v="684"/>
    <x v="2"/>
    <x v="576"/>
    <x v="2"/>
    <x v="1"/>
    <s v="-31,4129883640337, -64,1681120522587"/>
    <d v="1961-10-16T00:00:00"/>
    <n v="58"/>
    <x v="5"/>
    <x v="1"/>
    <s v="🚹"/>
    <x v="1"/>
    <d v="1986-06-03T00:00:00"/>
    <n v="33"/>
    <x v="6"/>
    <x v="1"/>
    <s v="🚺"/>
    <n v="3"/>
    <x v="0"/>
    <x v="0"/>
    <s v="No aplica"/>
    <s v="Lavado de dinero"/>
    <x v="1"/>
    <x v="0"/>
    <s v="Cerrado"/>
    <s v="34"/>
  </r>
  <r>
    <n v="917"/>
    <x v="685"/>
    <x v="685"/>
    <x v="685"/>
    <x v="3"/>
    <x v="577"/>
    <x v="6"/>
    <x v="6"/>
    <s v="-31,3909520937826, -64,1836424491715"/>
    <d v="1977-12-21T00:00:00"/>
    <n v="44"/>
    <x v="6"/>
    <x v="1"/>
    <s v="🚹"/>
    <x v="0"/>
    <d v="1960-11-07T00:00:00"/>
    <n v="62"/>
    <x v="2"/>
    <x v="0"/>
    <s v="🚹"/>
    <n v="1"/>
    <x v="1"/>
    <x v="3"/>
    <s v="Por vínculo"/>
    <s v="No aplica"/>
    <x v="1"/>
    <x v="0"/>
    <s v="Abierto"/>
    <s v="No aplica"/>
  </r>
  <r>
    <n v="41"/>
    <x v="686"/>
    <x v="686"/>
    <x v="686"/>
    <x v="4"/>
    <x v="373"/>
    <x v="1"/>
    <x v="11"/>
    <s v="-31,4506257494184, -64,1733054344705"/>
    <d v="2004-08-03T00:00:00"/>
    <n v="18"/>
    <x v="1"/>
    <x v="0"/>
    <s v="🚺"/>
    <x v="2"/>
    <d v="2014-07-01T00:00:00"/>
    <n v="8"/>
    <x v="5"/>
    <x v="0"/>
    <s v="🚹"/>
    <n v="3"/>
    <x v="1"/>
    <x v="3"/>
    <s v="Por vínculo"/>
    <s v="No aplica"/>
    <x v="1"/>
    <x v="0"/>
    <s v="Cerrado"/>
    <s v="No aplica"/>
  </r>
  <r>
    <n v="750"/>
    <x v="188"/>
    <x v="188"/>
    <x v="188"/>
    <x v="2"/>
    <x v="100"/>
    <x v="3"/>
    <x v="0"/>
    <s v="-31,4800162965848, -64,2094200976892"/>
    <d v="1977-06-26T00:00:00"/>
    <n v="39"/>
    <x v="6"/>
    <x v="0"/>
    <s v="🚺"/>
    <x v="0"/>
    <d v="1970-10-27T00:00:00"/>
    <n v="46"/>
    <x v="4"/>
    <x v="1"/>
    <s v="🚺"/>
    <n v="2"/>
    <x v="0"/>
    <x v="0"/>
    <s v="No aplica"/>
    <s v="Evasión fiscal"/>
    <x v="0"/>
    <x v="1"/>
    <s v="Cerrado"/>
    <s v="97"/>
  </r>
  <r>
    <n v="751"/>
    <x v="687"/>
    <x v="687"/>
    <x v="687"/>
    <x v="6"/>
    <x v="578"/>
    <x v="5"/>
    <x v="2"/>
    <s v="-31,334500143441, -64,2460773260564"/>
    <d v="1976-08-17T00:00:00"/>
    <n v="46"/>
    <x v="0"/>
    <x v="0"/>
    <s v="🚺"/>
    <x v="3"/>
    <d v="1950-01-12T00:00:00"/>
    <n v="73"/>
    <x v="0"/>
    <x v="0"/>
    <s v="🚹"/>
    <n v="2"/>
    <x v="0"/>
    <x v="0"/>
    <s v="No aplica"/>
    <s v="Evasión fiscal"/>
    <x v="1"/>
    <x v="0"/>
    <s v="En investigación"/>
    <s v="154"/>
  </r>
  <r>
    <n v="756"/>
    <x v="688"/>
    <x v="688"/>
    <x v="688"/>
    <x v="3"/>
    <x v="579"/>
    <x v="7"/>
    <x v="6"/>
    <s v="-31,3909520937826, -64,1836424491715"/>
    <d v="1991-11-08T00:00:00"/>
    <n v="25"/>
    <x v="1"/>
    <x v="1"/>
    <s v="🚹"/>
    <x v="1"/>
    <d v="1958-09-04T00:00:00"/>
    <n v="59"/>
    <x v="2"/>
    <x v="0"/>
    <s v="🚹"/>
    <n v="3"/>
    <x v="0"/>
    <x v="2"/>
    <s v="No aplica"/>
    <s v="Celular, tarjetas bancarias"/>
    <x v="1"/>
    <x v="0"/>
    <s v="Cerrado"/>
    <s v="182"/>
  </r>
  <r>
    <n v="494"/>
    <x v="689"/>
    <x v="689"/>
    <x v="689"/>
    <x v="1"/>
    <x v="580"/>
    <x v="10"/>
    <x v="4"/>
    <s v="-31,3759272890294, -64,2284587792478"/>
    <d v="1982-08-18T00:00:00"/>
    <n v="40"/>
    <x v="6"/>
    <x v="1"/>
    <s v="🚹"/>
    <x v="1"/>
    <d v="1950-03-06T00:00:00"/>
    <n v="72"/>
    <x v="0"/>
    <x v="1"/>
    <s v="🚺"/>
    <n v="2"/>
    <x v="1"/>
    <x v="0"/>
    <s v="No aplica"/>
    <s v="Vidrios de comercio rotos"/>
    <x v="1"/>
    <x v="0"/>
    <s v="Cerrado"/>
    <s v="No aplica"/>
  </r>
  <r>
    <n v="497"/>
    <x v="690"/>
    <x v="690"/>
    <x v="690"/>
    <x v="5"/>
    <x v="105"/>
    <x v="3"/>
    <x v="0"/>
    <s v="-31,4800162965848, -64,2094200976892"/>
    <d v="1959-12-25T00:00:00"/>
    <n v="62"/>
    <x v="5"/>
    <x v="1"/>
    <s v="🚹"/>
    <x v="4"/>
    <d v="1965-07-08T00:00:00"/>
    <n v="57"/>
    <x v="2"/>
    <x v="1"/>
    <s v="🚺"/>
    <n v="3"/>
    <x v="1"/>
    <x v="0"/>
    <s v="No aplica"/>
    <s v="Dinero público desviado"/>
    <x v="1"/>
    <x v="1"/>
    <s v="Abierto"/>
    <s v="No aplica"/>
  </r>
  <r>
    <n v="757"/>
    <x v="691"/>
    <x v="691"/>
    <x v="691"/>
    <x v="4"/>
    <x v="581"/>
    <x v="2"/>
    <x v="0"/>
    <s v="-31,4800162965848, -64,2094200976892"/>
    <d v="2001-01-01T00:00:00"/>
    <n v="18"/>
    <x v="1"/>
    <x v="1"/>
    <s v="🚹"/>
    <x v="3"/>
    <d v="2003-06-01T00:00:00"/>
    <n v="16"/>
    <x v="5"/>
    <x v="0"/>
    <s v="🚹"/>
    <n v="3"/>
    <x v="0"/>
    <x v="0"/>
    <s v="No aplica"/>
    <s v="Contrato fraudulento"/>
    <x v="1"/>
    <x v="0"/>
    <s v="Cerrado"/>
    <s v="57"/>
  </r>
  <r>
    <n v="348"/>
    <x v="692"/>
    <x v="692"/>
    <x v="692"/>
    <x v="2"/>
    <x v="496"/>
    <x v="7"/>
    <x v="11"/>
    <s v="-31,4506257494184, -64,1733054344705"/>
    <d v="1994-10-26T00:00:00"/>
    <n v="28"/>
    <x v="3"/>
    <x v="0"/>
    <s v="🚺"/>
    <x v="3"/>
    <d v="2012-05-22T00:00:00"/>
    <n v="10"/>
    <x v="5"/>
    <x v="1"/>
    <s v="🚺"/>
    <n v="1"/>
    <x v="1"/>
    <x v="0"/>
    <s v="Sin agravantes"/>
    <s v="No aplica"/>
    <x v="1"/>
    <x v="0"/>
    <s v="Cerrado"/>
    <s v="No aplica"/>
  </r>
  <r>
    <n v="360"/>
    <x v="693"/>
    <x v="693"/>
    <x v="693"/>
    <x v="6"/>
    <x v="80"/>
    <x v="1"/>
    <x v="4"/>
    <s v="-31,3759272890294, -64,2284587792478"/>
    <d v="1950-06-21T00:00:00"/>
    <n v="72"/>
    <x v="4"/>
    <x v="0"/>
    <s v="🚺"/>
    <x v="1"/>
    <d v="2007-10-12T00:00:00"/>
    <n v="15"/>
    <x v="5"/>
    <x v="0"/>
    <s v="🚹"/>
    <n v="2"/>
    <x v="1"/>
    <x v="0"/>
    <s v="No aplica"/>
    <s v="Evasión fiscal"/>
    <x v="1"/>
    <x v="0"/>
    <s v="Cerrado"/>
    <s v="No aplica"/>
  </r>
  <r>
    <n v="758"/>
    <x v="694"/>
    <x v="694"/>
    <x v="694"/>
    <x v="6"/>
    <x v="582"/>
    <x v="3"/>
    <x v="0"/>
    <s v="-31,4800162965848, -64,2094200976892"/>
    <d v="1962-06-05T00:00:00"/>
    <n v="59"/>
    <x v="5"/>
    <x v="1"/>
    <s v="🚹"/>
    <x v="2"/>
    <d v="1942-03-15T00:00:00"/>
    <n v="79"/>
    <x v="0"/>
    <x v="0"/>
    <s v="🚹"/>
    <n v="2"/>
    <x v="0"/>
    <x v="0"/>
    <s v="No aplica"/>
    <s v="Celular"/>
    <x v="0"/>
    <x v="0"/>
    <s v="En investigación"/>
    <s v="86"/>
  </r>
  <r>
    <n v="759"/>
    <x v="695"/>
    <x v="695"/>
    <x v="695"/>
    <x v="3"/>
    <x v="327"/>
    <x v="8"/>
    <x v="6"/>
    <s v="-31,3909520937826, -64,1836424491715"/>
    <d v="2000-12-04T00:00:00"/>
    <n v="20"/>
    <x v="1"/>
    <x v="1"/>
    <s v="🚹"/>
    <x v="0"/>
    <d v="1944-04-21T00:00:00"/>
    <n v="77"/>
    <x v="0"/>
    <x v="0"/>
    <s v="🚹"/>
    <n v="3"/>
    <x v="0"/>
    <x v="1"/>
    <s v="Alevosía"/>
    <s v="No aplica"/>
    <x v="1"/>
    <x v="1"/>
    <s v="En investigación"/>
    <s v="196"/>
  </r>
  <r>
    <n v="761"/>
    <x v="696"/>
    <x v="696"/>
    <x v="696"/>
    <x v="3"/>
    <x v="571"/>
    <x v="4"/>
    <x v="11"/>
    <s v="-31,4506257494184, -64,1733054344705"/>
    <d v="1997-12-17T00:00:00"/>
    <n v="26"/>
    <x v="3"/>
    <x v="1"/>
    <s v="🚹"/>
    <x v="2"/>
    <d v="1960-02-18T00:00:00"/>
    <n v="64"/>
    <x v="2"/>
    <x v="1"/>
    <s v="🚺"/>
    <n v="1"/>
    <x v="0"/>
    <x v="0"/>
    <s v="No aplica"/>
    <s v="Cuentas falsas"/>
    <x v="1"/>
    <x v="1"/>
    <s v="En investigación"/>
    <s v="195"/>
  </r>
  <r>
    <n v="762"/>
    <x v="697"/>
    <x v="697"/>
    <x v="697"/>
    <x v="1"/>
    <x v="583"/>
    <x v="9"/>
    <x v="5"/>
    <s v="-31,3477902896523, -64,2644406169297"/>
    <d v="1955-08-18T00:00:00"/>
    <n v="67"/>
    <x v="4"/>
    <x v="0"/>
    <s v="🚺"/>
    <x v="4"/>
    <d v="1967-12-15T00:00:00"/>
    <n v="54"/>
    <x v="4"/>
    <x v="0"/>
    <s v="🚹"/>
    <n v="2"/>
    <x v="0"/>
    <x v="0"/>
    <s v="No aplica"/>
    <s v="Cartera con documentación"/>
    <x v="1"/>
    <x v="1"/>
    <s v="En investigación"/>
    <s v="20"/>
  </r>
  <r>
    <n v="765"/>
    <x v="7"/>
    <x v="7"/>
    <x v="7"/>
    <x v="0"/>
    <x v="244"/>
    <x v="9"/>
    <x v="7"/>
    <s v="-31,4015892433235, -64,160442876477"/>
    <d v="1960-06-06T00:00:00"/>
    <n v="54"/>
    <x v="0"/>
    <x v="1"/>
    <s v="🚹"/>
    <x v="0"/>
    <d v="1946-08-01T00:00:00"/>
    <n v="68"/>
    <x v="0"/>
    <x v="0"/>
    <s v="🚹"/>
    <n v="2"/>
    <x v="0"/>
    <x v="0"/>
    <s v="No aplica"/>
    <s v="No aplica"/>
    <x v="1"/>
    <x v="0"/>
    <s v="Cerrado"/>
    <s v="210"/>
  </r>
  <r>
    <n v="767"/>
    <x v="698"/>
    <x v="698"/>
    <x v="698"/>
    <x v="0"/>
    <x v="584"/>
    <x v="0"/>
    <x v="2"/>
    <s v="-31,334500143441, -64,2460773260564"/>
    <d v="1981-05-07T00:00:00"/>
    <n v="38"/>
    <x v="6"/>
    <x v="0"/>
    <s v="🚺"/>
    <x v="0"/>
    <d v="1976-07-01T00:00:00"/>
    <n v="42"/>
    <x v="1"/>
    <x v="0"/>
    <s v="🚹"/>
    <n v="2"/>
    <x v="0"/>
    <x v="3"/>
    <s v="No aplica"/>
    <s v="Auto modelo XXX, patente XXX XXX"/>
    <x v="0"/>
    <x v="0"/>
    <s v="Abierto"/>
    <s v="83"/>
  </r>
  <r>
    <n v="620"/>
    <x v="699"/>
    <x v="699"/>
    <x v="699"/>
    <x v="6"/>
    <x v="256"/>
    <x v="4"/>
    <x v="5"/>
    <s v="-31,3477902896523, -64,2644406169297"/>
    <d v="1951-04-08T00:00:00"/>
    <n v="71"/>
    <x v="4"/>
    <x v="1"/>
    <s v="🚹"/>
    <x v="3"/>
    <d v="1975-09-16T00:00:00"/>
    <n v="47"/>
    <x v="4"/>
    <x v="1"/>
    <s v="🚺"/>
    <n v="1"/>
    <x v="1"/>
    <x v="2"/>
    <s v="Sin agravantes"/>
    <s v="No aplica"/>
    <x v="0"/>
    <x v="0"/>
    <s v="Cerrado"/>
    <s v="No aplica"/>
  </r>
  <r>
    <n v="769"/>
    <x v="700"/>
    <x v="700"/>
    <x v="700"/>
    <x v="1"/>
    <x v="585"/>
    <x v="9"/>
    <x v="5"/>
    <s v="-31,3477902896523, -64,2644406169297"/>
    <d v="1994-10-08T00:00:00"/>
    <n v="22"/>
    <x v="1"/>
    <x v="0"/>
    <s v="🚺"/>
    <x v="1"/>
    <d v="1940-01-02T00:00:00"/>
    <n v="76"/>
    <x v="0"/>
    <x v="1"/>
    <s v="🚺"/>
    <n v="3"/>
    <x v="0"/>
    <x v="0"/>
    <s v="No aplica"/>
    <s v="Estafa bancaria"/>
    <x v="1"/>
    <x v="1"/>
    <s v="Cerrado"/>
    <s v="256"/>
  </r>
  <r>
    <n v="83"/>
    <x v="701"/>
    <x v="701"/>
    <x v="701"/>
    <x v="3"/>
    <x v="586"/>
    <x v="1"/>
    <x v="4"/>
    <s v="-31,3759272890294, -64,2284587792478"/>
    <d v="1963-09-12T00:00:00"/>
    <n v="59"/>
    <x v="5"/>
    <x v="1"/>
    <s v="🚹"/>
    <x v="3"/>
    <d v="1999-11-12T00:00:00"/>
    <n v="23"/>
    <x v="3"/>
    <x v="0"/>
    <s v="🚹"/>
    <n v="1"/>
    <x v="1"/>
    <x v="0"/>
    <s v="No aplica"/>
    <s v="Lavado de dinero"/>
    <x v="1"/>
    <x v="1"/>
    <s v="Cerrado"/>
    <s v="No aplica"/>
  </r>
  <r>
    <n v="771"/>
    <x v="702"/>
    <x v="702"/>
    <x v="702"/>
    <x v="4"/>
    <x v="587"/>
    <x v="11"/>
    <x v="4"/>
    <s v="-31,3759272890294, -64,2284587792478"/>
    <d v="2004-11-09T00:00:00"/>
    <n v="11"/>
    <x v="2"/>
    <x v="1"/>
    <s v="🚹"/>
    <x v="3"/>
    <d v="1982-11-13T00:00:00"/>
    <n v="33"/>
    <x v="6"/>
    <x v="0"/>
    <s v="🚹"/>
    <n v="1"/>
    <x v="0"/>
    <x v="0"/>
    <s v="No aplica"/>
    <s v="Ropa de marca"/>
    <x v="0"/>
    <x v="1"/>
    <s v="En investigación"/>
    <s v="71"/>
  </r>
  <r>
    <n v="967"/>
    <x v="262"/>
    <x v="262"/>
    <x v="262"/>
    <x v="5"/>
    <x v="588"/>
    <x v="0"/>
    <x v="7"/>
    <s v="-31,4015892433235, -64,160442876477"/>
    <d v="1953-08-26T00:00:00"/>
    <n v="69"/>
    <x v="4"/>
    <x v="1"/>
    <s v="🚹"/>
    <x v="2"/>
    <d v="1982-01-05T00:00:00"/>
    <n v="41"/>
    <x v="1"/>
    <x v="0"/>
    <s v="🚹"/>
    <n v="2"/>
    <x v="1"/>
    <x v="0"/>
    <s v="No aplica"/>
    <s v="Vidrios de comercio rotos"/>
    <x v="1"/>
    <x v="0"/>
    <s v="Abierto"/>
    <s v="No aplica"/>
  </r>
  <r>
    <n v="122"/>
    <x v="703"/>
    <x v="703"/>
    <x v="703"/>
    <x v="4"/>
    <x v="589"/>
    <x v="11"/>
    <x v="10"/>
    <s v="-31,4285567311661, -64,1853198281007"/>
    <d v="1971-05-28T00:00:00"/>
    <n v="51"/>
    <x v="0"/>
    <x v="0"/>
    <s v="🚺"/>
    <x v="1"/>
    <d v="1965-01-16T00:00:00"/>
    <n v="58"/>
    <x v="2"/>
    <x v="1"/>
    <s v="🚺"/>
    <n v="1"/>
    <x v="1"/>
    <x v="0"/>
    <s v="Por vínculo"/>
    <s v="No aplica"/>
    <x v="0"/>
    <x v="0"/>
    <s v="Abierto"/>
    <s v="No aplica"/>
  </r>
  <r>
    <n v="777"/>
    <x v="704"/>
    <x v="704"/>
    <x v="704"/>
    <x v="5"/>
    <x v="590"/>
    <x v="0"/>
    <x v="2"/>
    <s v="-31,334500143441, -64,2460773260564"/>
    <d v="1994-11-17T00:00:00"/>
    <n v="27"/>
    <x v="3"/>
    <x v="1"/>
    <s v="🚹"/>
    <x v="3"/>
    <d v="1993-01-06T00:00:00"/>
    <n v="28"/>
    <x v="6"/>
    <x v="0"/>
    <s v="🚹"/>
    <n v="3"/>
    <x v="0"/>
    <x v="0"/>
    <s v="No aplica"/>
    <s v="Cuentas falsas"/>
    <x v="0"/>
    <x v="0"/>
    <s v="Cerrado"/>
    <s v="80"/>
  </r>
  <r>
    <n v="714"/>
    <x v="705"/>
    <x v="705"/>
    <x v="705"/>
    <x v="2"/>
    <x v="109"/>
    <x v="2"/>
    <x v="6"/>
    <s v="-31,3909520937826, -64,1836424491715"/>
    <d v="2002-04-19T00:00:00"/>
    <n v="20"/>
    <x v="1"/>
    <x v="1"/>
    <s v="🚹"/>
    <x v="2"/>
    <d v="1967-12-07T00:00:00"/>
    <n v="55"/>
    <x v="4"/>
    <x v="1"/>
    <s v="🚺"/>
    <n v="3"/>
    <x v="1"/>
    <x v="0"/>
    <s v="No aplica"/>
    <s v="Pasta base"/>
    <x v="1"/>
    <x v="0"/>
    <s v="Abierto"/>
    <s v="No aplica"/>
  </r>
  <r>
    <n v="778"/>
    <x v="706"/>
    <x v="706"/>
    <x v="706"/>
    <x v="4"/>
    <x v="208"/>
    <x v="7"/>
    <x v="2"/>
    <s v="-31,334500143441, -64,2460773260564"/>
    <d v="1987-06-13T00:00:00"/>
    <n v="35"/>
    <x v="3"/>
    <x v="1"/>
    <s v="🚹"/>
    <x v="3"/>
    <d v="1996-08-02T00:00:00"/>
    <n v="26"/>
    <x v="6"/>
    <x v="0"/>
    <s v="🚹"/>
    <n v="2"/>
    <x v="0"/>
    <x v="3"/>
    <s v="No aplica"/>
    <s v="Auto modelo XXX, patente XXX XXX"/>
    <x v="1"/>
    <x v="0"/>
    <s v="Cerrado"/>
    <s v="125"/>
  </r>
  <r>
    <n v="115"/>
    <x v="707"/>
    <x v="707"/>
    <x v="707"/>
    <x v="5"/>
    <x v="480"/>
    <x v="2"/>
    <x v="7"/>
    <s v="-31,4015892433235, -64,160442876477"/>
    <d v="1978-12-20T00:00:00"/>
    <n v="44"/>
    <x v="6"/>
    <x v="1"/>
    <s v="🚹"/>
    <x v="3"/>
    <d v="1995-05-03T00:00:00"/>
    <n v="27"/>
    <x v="6"/>
    <x v="1"/>
    <s v="🚺"/>
    <n v="3"/>
    <x v="1"/>
    <x v="4"/>
    <s v="Sin agravantes"/>
    <s v="No aplica"/>
    <x v="1"/>
    <x v="0"/>
    <s v="Abierto"/>
    <s v="No aplica"/>
  </r>
  <r>
    <n v="780"/>
    <x v="344"/>
    <x v="344"/>
    <x v="344"/>
    <x v="3"/>
    <x v="443"/>
    <x v="3"/>
    <x v="3"/>
    <s v="-31,4148488101991, -64,1793406489438"/>
    <d v="1983-02-27T00:00:00"/>
    <n v="35"/>
    <x v="3"/>
    <x v="1"/>
    <s v="🚹"/>
    <x v="0"/>
    <d v="1994-07-24T00:00:00"/>
    <n v="24"/>
    <x v="3"/>
    <x v="0"/>
    <s v="🚹"/>
    <n v="3"/>
    <x v="0"/>
    <x v="0"/>
    <s v="No aplica"/>
    <s v="Estafa bancaria"/>
    <x v="0"/>
    <x v="1"/>
    <s v="Abierto"/>
    <s v="43"/>
  </r>
  <r>
    <n v="782"/>
    <x v="708"/>
    <x v="708"/>
    <x v="708"/>
    <x v="1"/>
    <x v="112"/>
    <x v="5"/>
    <x v="3"/>
    <s v="-31,4148488101991, -64,1793406489438"/>
    <d v="1972-12-09T00:00:00"/>
    <n v="42"/>
    <x v="6"/>
    <x v="0"/>
    <s v="🚺"/>
    <x v="4"/>
    <d v="2005-12-10T00:00:00"/>
    <n v="9"/>
    <x v="5"/>
    <x v="0"/>
    <s v="🚹"/>
    <n v="3"/>
    <x v="0"/>
    <x v="0"/>
    <s v="No aplica"/>
    <s v="Evasión fiscal"/>
    <x v="1"/>
    <x v="0"/>
    <s v="Abierto"/>
    <s v="219"/>
  </r>
  <r>
    <n v="783"/>
    <x v="709"/>
    <x v="709"/>
    <x v="709"/>
    <x v="0"/>
    <x v="591"/>
    <x v="4"/>
    <x v="4"/>
    <s v="-31,3759272890294, -64,2284587792478"/>
    <d v="1967-10-05T00:00:00"/>
    <n v="47"/>
    <x v="0"/>
    <x v="1"/>
    <s v="🚹"/>
    <x v="4"/>
    <d v="1979-11-01T00:00:00"/>
    <n v="35"/>
    <x v="6"/>
    <x v="0"/>
    <s v="🚹"/>
    <n v="3"/>
    <x v="0"/>
    <x v="0"/>
    <s v="No aplica"/>
    <s v="Dinero público desviado"/>
    <x v="0"/>
    <x v="1"/>
    <s v="Abierto"/>
    <s v="266"/>
  </r>
  <r>
    <n v="927"/>
    <x v="710"/>
    <x v="710"/>
    <x v="710"/>
    <x v="4"/>
    <x v="592"/>
    <x v="7"/>
    <x v="4"/>
    <s v="-31,3759272890294, -64,2284587792478"/>
    <d v="1952-12-23T00:00:00"/>
    <n v="70"/>
    <x v="4"/>
    <x v="1"/>
    <s v="🚹"/>
    <x v="3"/>
    <d v="1971-04-18T00:00:00"/>
    <n v="51"/>
    <x v="4"/>
    <x v="0"/>
    <s v="🚹"/>
    <n v="2"/>
    <x v="1"/>
    <x v="0"/>
    <s v="No aplica"/>
    <s v="Vidrios de comercio rotos"/>
    <x v="1"/>
    <x v="0"/>
    <s v="Cerrado"/>
    <s v="No aplica"/>
  </r>
  <r>
    <n v="472"/>
    <x v="711"/>
    <x v="711"/>
    <x v="711"/>
    <x v="2"/>
    <x v="593"/>
    <x v="6"/>
    <x v="8"/>
    <s v="-31,423018915313, -64,1493562190664"/>
    <d v="1987-11-15T00:00:00"/>
    <n v="35"/>
    <x v="3"/>
    <x v="1"/>
    <s v="🚹"/>
    <x v="3"/>
    <d v="1979-12-23T00:00:00"/>
    <n v="43"/>
    <x v="1"/>
    <x v="1"/>
    <s v="🚺"/>
    <n v="1"/>
    <x v="1"/>
    <x v="2"/>
    <s v="No aplica"/>
    <s v="Auto modelo XXX, patente XXX XXX"/>
    <x v="1"/>
    <x v="0"/>
    <s v="Abierto"/>
    <s v="No aplica"/>
  </r>
  <r>
    <n v="786"/>
    <x v="712"/>
    <x v="712"/>
    <x v="712"/>
    <x v="1"/>
    <x v="567"/>
    <x v="6"/>
    <x v="1"/>
    <s v="-31,4129883640337, -64,1681120522587"/>
    <d v="1966-01-24T00:00:00"/>
    <n v="50"/>
    <x v="0"/>
    <x v="1"/>
    <s v="🚹"/>
    <x v="2"/>
    <d v="1995-01-25T00:00:00"/>
    <n v="21"/>
    <x v="3"/>
    <x v="1"/>
    <s v="🚺"/>
    <n v="3"/>
    <x v="0"/>
    <x v="0"/>
    <s v="Por vínculo"/>
    <s v="No aplica"/>
    <x v="1"/>
    <x v="1"/>
    <s v="Cerrado"/>
    <s v="287"/>
  </r>
  <r>
    <n v="788"/>
    <x v="693"/>
    <x v="693"/>
    <x v="693"/>
    <x v="6"/>
    <x v="594"/>
    <x v="4"/>
    <x v="5"/>
    <s v="-31,3477902896523, -64,2644406169297"/>
    <d v="1970-08-21T00:00:00"/>
    <n v="52"/>
    <x v="0"/>
    <x v="1"/>
    <s v="🚹"/>
    <x v="0"/>
    <d v="1953-01-20T00:00:00"/>
    <n v="69"/>
    <x v="0"/>
    <x v="1"/>
    <s v="🚺"/>
    <n v="1"/>
    <x v="0"/>
    <x v="0"/>
    <s v="No aplica"/>
    <s v="Grafitis en edificios públicos"/>
    <x v="1"/>
    <x v="0"/>
    <s v="Abierto"/>
    <s v="39"/>
  </r>
  <r>
    <n v="789"/>
    <x v="713"/>
    <x v="713"/>
    <x v="713"/>
    <x v="6"/>
    <x v="595"/>
    <x v="10"/>
    <x v="1"/>
    <s v="-31,4129883640337, -64,1681120522587"/>
    <d v="1970-05-18T00:00:00"/>
    <n v="48"/>
    <x v="0"/>
    <x v="0"/>
    <s v="🚺"/>
    <x v="0"/>
    <d v="1944-01-21T00:00:00"/>
    <n v="75"/>
    <x v="0"/>
    <x v="0"/>
    <s v="🚹"/>
    <n v="3"/>
    <x v="0"/>
    <x v="0"/>
    <s v="No aplica"/>
    <s v="Dinero público desviado"/>
    <x v="1"/>
    <x v="0"/>
    <s v="Cerrado"/>
    <s v="27"/>
  </r>
  <r>
    <n v="793"/>
    <x v="714"/>
    <x v="714"/>
    <x v="714"/>
    <x v="2"/>
    <x v="267"/>
    <x v="0"/>
    <x v="5"/>
    <s v="-31,3477902896523, -64,2644406169297"/>
    <d v="1958-12-11T00:00:00"/>
    <n v="56"/>
    <x v="5"/>
    <x v="1"/>
    <s v="🚹"/>
    <x v="1"/>
    <d v="2008-05-13T00:00:00"/>
    <n v="6"/>
    <x v="5"/>
    <x v="1"/>
    <s v="🚺"/>
    <n v="1"/>
    <x v="0"/>
    <x v="4"/>
    <s v="Alevosía"/>
    <s v="No aplica"/>
    <x v="1"/>
    <x v="0"/>
    <s v="Cerrado"/>
    <s v="196"/>
  </r>
  <r>
    <n v="794"/>
    <x v="715"/>
    <x v="715"/>
    <x v="715"/>
    <x v="6"/>
    <x v="101"/>
    <x v="5"/>
    <x v="10"/>
    <s v="-31,4285567311661, -64,1853198281007"/>
    <d v="1980-11-03T00:00:00"/>
    <n v="40"/>
    <x v="6"/>
    <x v="0"/>
    <s v="🚺"/>
    <x v="2"/>
    <d v="1982-10-02T00:00:00"/>
    <n v="38"/>
    <x v="1"/>
    <x v="0"/>
    <s v="🚹"/>
    <n v="3"/>
    <x v="0"/>
    <x v="0"/>
    <s v="No aplica"/>
    <s v="Contrato fraudulento"/>
    <x v="1"/>
    <x v="0"/>
    <s v="En investigación"/>
    <s v="43"/>
  </r>
  <r>
    <n v="796"/>
    <x v="716"/>
    <x v="716"/>
    <x v="716"/>
    <x v="2"/>
    <x v="596"/>
    <x v="10"/>
    <x v="11"/>
    <s v="-31,4506257494184, -64,1733054344705"/>
    <d v="1982-03-24T00:00:00"/>
    <n v="38"/>
    <x v="6"/>
    <x v="0"/>
    <s v="🚺"/>
    <x v="0"/>
    <d v="1975-05-02T00:00:00"/>
    <n v="45"/>
    <x v="1"/>
    <x v="0"/>
    <s v="🚹"/>
    <n v="1"/>
    <x v="0"/>
    <x v="1"/>
    <s v="Sin agravantes"/>
    <s v="No aplica"/>
    <x v="1"/>
    <x v="0"/>
    <s v="En investigación"/>
    <s v="264"/>
  </r>
  <r>
    <n v="30"/>
    <x v="717"/>
    <x v="717"/>
    <x v="717"/>
    <x v="3"/>
    <x v="597"/>
    <x v="6"/>
    <x v="0"/>
    <s v="-31,4800162965848, -64,2094200976892"/>
    <d v="1973-07-08T00:00:00"/>
    <n v="49"/>
    <x v="0"/>
    <x v="0"/>
    <s v="🚺"/>
    <x v="2"/>
    <d v="1998-04-09T00:00:00"/>
    <n v="24"/>
    <x v="3"/>
    <x v="0"/>
    <s v="🚹"/>
    <n v="1"/>
    <x v="1"/>
    <x v="0"/>
    <s v="No aplica"/>
    <s v="Cartera con documentación"/>
    <x v="0"/>
    <x v="0"/>
    <s v="Cerrado"/>
    <s v="No aplica"/>
  </r>
  <r>
    <n v="798"/>
    <x v="718"/>
    <x v="718"/>
    <x v="718"/>
    <x v="3"/>
    <x v="573"/>
    <x v="6"/>
    <x v="8"/>
    <s v="-31,423018915313, -64,1493562190664"/>
    <d v="2001-02-11T00:00:00"/>
    <n v="21"/>
    <x v="1"/>
    <x v="0"/>
    <s v="🚺"/>
    <x v="0"/>
    <d v="1950-05-13T00:00:00"/>
    <n v="71"/>
    <x v="0"/>
    <x v="1"/>
    <s v="🚺"/>
    <n v="1"/>
    <x v="0"/>
    <x v="2"/>
    <s v="Con ensañamiento"/>
    <s v="No aplica"/>
    <x v="0"/>
    <x v="0"/>
    <s v="En investigación"/>
    <s v="190"/>
  </r>
  <r>
    <n v="11"/>
    <x v="719"/>
    <x v="719"/>
    <x v="719"/>
    <x v="1"/>
    <x v="408"/>
    <x v="9"/>
    <x v="5"/>
    <s v="-31,3477902896523, -64,2644406169297"/>
    <d v="1994-03-09T00:00:00"/>
    <n v="29"/>
    <x v="3"/>
    <x v="0"/>
    <s v="🚺"/>
    <x v="2"/>
    <d v="1944-03-12T00:00:00"/>
    <n v="79"/>
    <x v="0"/>
    <x v="0"/>
    <s v="🚹"/>
    <n v="1"/>
    <x v="1"/>
    <x v="0"/>
    <s v="No aplica"/>
    <s v="Vidrios de comercio rotos"/>
    <x v="1"/>
    <x v="0"/>
    <s v="Abierto"/>
    <s v="No aplica"/>
  </r>
  <r>
    <n v="595"/>
    <x v="720"/>
    <x v="720"/>
    <x v="720"/>
    <x v="0"/>
    <x v="598"/>
    <x v="4"/>
    <x v="4"/>
    <s v="-31,3759272890294, -64,2284587792478"/>
    <d v="2002-12-23T00:00:00"/>
    <n v="20"/>
    <x v="1"/>
    <x v="1"/>
    <s v="🚹"/>
    <x v="4"/>
    <d v="1991-05-25T00:00:00"/>
    <n v="31"/>
    <x v="6"/>
    <x v="0"/>
    <s v="🚹"/>
    <n v="1"/>
    <x v="1"/>
    <x v="0"/>
    <s v="No aplica"/>
    <s v="Bicicleta"/>
    <x v="0"/>
    <x v="0"/>
    <s v="Cerrado"/>
    <s v="No aplica"/>
  </r>
  <r>
    <n v="618"/>
    <x v="721"/>
    <x v="721"/>
    <x v="721"/>
    <x v="3"/>
    <x v="35"/>
    <x v="11"/>
    <x v="0"/>
    <s v="-31,4800162965848, -64,2094200976892"/>
    <d v="1956-12-25T00:00:00"/>
    <n v="66"/>
    <x v="4"/>
    <x v="1"/>
    <s v="🚹"/>
    <x v="2"/>
    <d v="1944-11-24T00:00:00"/>
    <n v="78"/>
    <x v="0"/>
    <x v="1"/>
    <s v="🚺"/>
    <n v="1"/>
    <x v="1"/>
    <x v="0"/>
    <s v="No aplica"/>
    <s v="Celular"/>
    <x v="1"/>
    <x v="0"/>
    <s v="Cerrado"/>
    <s v="No aplica"/>
  </r>
  <r>
    <n v="705"/>
    <x v="722"/>
    <x v="722"/>
    <x v="722"/>
    <x v="6"/>
    <x v="599"/>
    <x v="5"/>
    <x v="4"/>
    <s v="-31,3759272890294, -64,2284587792478"/>
    <d v="1982-04-22T00:00:00"/>
    <n v="40"/>
    <x v="6"/>
    <x v="0"/>
    <s v="🚺"/>
    <x v="2"/>
    <d v="1946-11-10T00:00:00"/>
    <n v="76"/>
    <x v="0"/>
    <x v="1"/>
    <s v="🚺"/>
    <n v="3"/>
    <x v="1"/>
    <x v="0"/>
    <s v="No aplica"/>
    <s v="5kg de cocaína"/>
    <x v="1"/>
    <x v="0"/>
    <s v="Cerrado"/>
    <s v="No aplica"/>
  </r>
  <r>
    <n v="79"/>
    <x v="723"/>
    <x v="723"/>
    <x v="723"/>
    <x v="0"/>
    <x v="400"/>
    <x v="4"/>
    <x v="9"/>
    <s v="-31,4076397196409, -64,2020170430678"/>
    <d v="2002-06-26T00:00:00"/>
    <n v="20"/>
    <x v="1"/>
    <x v="0"/>
    <s v="🚺"/>
    <x v="0"/>
    <d v="1985-11-11T00:00:00"/>
    <n v="37"/>
    <x v="1"/>
    <x v="1"/>
    <s v="🚺"/>
    <n v="3"/>
    <x v="1"/>
    <x v="0"/>
    <s v="No aplica"/>
    <s v="Pasta base"/>
    <x v="1"/>
    <x v="1"/>
    <s v="Cerrado"/>
    <s v="No aplica"/>
  </r>
  <r>
    <n v="799"/>
    <x v="485"/>
    <x v="485"/>
    <x v="485"/>
    <x v="2"/>
    <x v="352"/>
    <x v="10"/>
    <x v="3"/>
    <s v="-31,4148488101991, -64,1793406489438"/>
    <d v="1966-07-02T00:00:00"/>
    <n v="52"/>
    <x v="0"/>
    <x v="1"/>
    <s v="🚹"/>
    <x v="4"/>
    <d v="1993-01-10T00:00:00"/>
    <n v="25"/>
    <x v="3"/>
    <x v="0"/>
    <s v="🚹"/>
    <n v="2"/>
    <x v="0"/>
    <x v="3"/>
    <s v="Con ensañamiento"/>
    <s v="No aplica"/>
    <x v="1"/>
    <x v="0"/>
    <s v="Cerrado"/>
    <s v="225"/>
  </r>
  <r>
    <n v="740"/>
    <x v="724"/>
    <x v="724"/>
    <x v="724"/>
    <x v="3"/>
    <x v="600"/>
    <x v="9"/>
    <x v="3"/>
    <s v="-31,4148488101991, -64,1793406489438"/>
    <d v="1960-06-24T00:00:00"/>
    <n v="62"/>
    <x v="5"/>
    <x v="1"/>
    <s v="🚹"/>
    <x v="4"/>
    <d v="1945-06-03T00:00:00"/>
    <n v="77"/>
    <x v="0"/>
    <x v="1"/>
    <s v="🚺"/>
    <n v="3"/>
    <x v="1"/>
    <x v="0"/>
    <s v="Por vínculo"/>
    <s v="No aplica"/>
    <x v="0"/>
    <x v="0"/>
    <s v="Cerrado"/>
    <s v="No aplica"/>
  </r>
  <r>
    <n v="800"/>
    <x v="181"/>
    <x v="181"/>
    <x v="181"/>
    <x v="2"/>
    <x v="276"/>
    <x v="11"/>
    <x v="0"/>
    <s v="-31,4800162965848, -64,2094200976892"/>
    <d v="2004-12-12T00:00:00"/>
    <n v="12"/>
    <x v="2"/>
    <x v="0"/>
    <s v="🚺"/>
    <x v="0"/>
    <d v="1980-10-18T00:00:00"/>
    <n v="36"/>
    <x v="1"/>
    <x v="0"/>
    <s v="🚹"/>
    <n v="3"/>
    <x v="0"/>
    <x v="0"/>
    <s v="No aplica"/>
    <s v="Bicicleta"/>
    <x v="1"/>
    <x v="1"/>
    <s v="En investigación"/>
    <s v="124"/>
  </r>
  <r>
    <n v="812"/>
    <x v="725"/>
    <x v="725"/>
    <x v="725"/>
    <x v="5"/>
    <x v="276"/>
    <x v="4"/>
    <x v="9"/>
    <s v="-31,4076397196409, -64,2020170430678"/>
    <d v="2001-09-01T00:00:00"/>
    <n v="21"/>
    <x v="1"/>
    <x v="1"/>
    <s v="🚹"/>
    <x v="3"/>
    <d v="1992-08-09T00:00:00"/>
    <n v="30"/>
    <x v="6"/>
    <x v="0"/>
    <s v="🚹"/>
    <n v="2"/>
    <x v="1"/>
    <x v="1"/>
    <s v="No aplica"/>
    <s v="Laptop marca HP"/>
    <x v="0"/>
    <x v="1"/>
    <s v="Cerrado"/>
    <s v="No aplica"/>
  </r>
  <r>
    <n v="805"/>
    <x v="726"/>
    <x v="726"/>
    <x v="726"/>
    <x v="3"/>
    <x v="601"/>
    <x v="3"/>
    <x v="8"/>
    <s v="-31,423018915313, -64,1493562190664"/>
    <d v="1960-09-07T00:00:00"/>
    <n v="60"/>
    <x v="5"/>
    <x v="1"/>
    <s v="🚹"/>
    <x v="4"/>
    <d v="1960-01-14T00:00:00"/>
    <n v="60"/>
    <x v="2"/>
    <x v="1"/>
    <s v="🚺"/>
    <n v="1"/>
    <x v="0"/>
    <x v="0"/>
    <s v="Alevosía"/>
    <s v="No aplica"/>
    <x v="1"/>
    <x v="0"/>
    <s v="En investigación"/>
    <s v="273"/>
  </r>
  <r>
    <n v="810"/>
    <x v="727"/>
    <x v="727"/>
    <x v="727"/>
    <x v="6"/>
    <x v="602"/>
    <x v="7"/>
    <x v="2"/>
    <s v="-31,334500143441, -64,2460773260564"/>
    <d v="1964-02-23T00:00:00"/>
    <n v="58"/>
    <x v="5"/>
    <x v="0"/>
    <s v="🚺"/>
    <x v="1"/>
    <d v="1992-10-04T00:00:00"/>
    <n v="30"/>
    <x v="6"/>
    <x v="0"/>
    <s v="🚹"/>
    <n v="2"/>
    <x v="0"/>
    <x v="0"/>
    <s v="No aplica"/>
    <s v="No aplica"/>
    <x v="1"/>
    <x v="0"/>
    <s v="Abierto"/>
    <s v="150"/>
  </r>
  <r>
    <n v="89"/>
    <x v="728"/>
    <x v="728"/>
    <x v="728"/>
    <x v="3"/>
    <x v="246"/>
    <x v="3"/>
    <x v="2"/>
    <s v="-31,334500143441, -64,2460773260564"/>
    <d v="1982-02-07T00:00:00"/>
    <n v="41"/>
    <x v="6"/>
    <x v="1"/>
    <s v="🚹"/>
    <x v="4"/>
    <d v="1953-01-19T00:00:00"/>
    <n v="70"/>
    <x v="0"/>
    <x v="0"/>
    <s v="🚹"/>
    <n v="2"/>
    <x v="1"/>
    <x v="0"/>
    <s v="No aplica"/>
    <s v="Lavado de dinero"/>
    <x v="1"/>
    <x v="1"/>
    <s v="Cerrado"/>
    <s v="No aplica"/>
  </r>
  <r>
    <n v="811"/>
    <x v="729"/>
    <x v="729"/>
    <x v="729"/>
    <x v="4"/>
    <x v="313"/>
    <x v="5"/>
    <x v="9"/>
    <s v="-31,4076397196409, -64,2020170430678"/>
    <d v="1976-02-09T00:00:00"/>
    <n v="39"/>
    <x v="6"/>
    <x v="1"/>
    <s v="🚹"/>
    <x v="4"/>
    <d v="1981-03-11T00:00:00"/>
    <n v="34"/>
    <x v="6"/>
    <x v="0"/>
    <s v="🚹"/>
    <n v="2"/>
    <x v="0"/>
    <x v="0"/>
    <s v="No aplica"/>
    <s v="Grafitis en edificios públicos"/>
    <x v="1"/>
    <x v="0"/>
    <s v="En investigación"/>
    <s v="173"/>
  </r>
  <r>
    <n v="131"/>
    <x v="51"/>
    <x v="51"/>
    <x v="51"/>
    <x v="5"/>
    <x v="102"/>
    <x v="5"/>
    <x v="5"/>
    <s v="-31,3477902896523, -64,2644406169297"/>
    <d v="1961-05-13T00:00:00"/>
    <n v="62"/>
    <x v="5"/>
    <x v="0"/>
    <s v="🚺"/>
    <x v="4"/>
    <d v="1945-05-01T00:00:00"/>
    <n v="78"/>
    <x v="0"/>
    <x v="0"/>
    <s v="🚹"/>
    <n v="1"/>
    <x v="1"/>
    <x v="0"/>
    <s v="No aplica"/>
    <s v="Evasión fiscal"/>
    <x v="1"/>
    <x v="0"/>
    <s v="Cerrado"/>
    <s v="No aplica"/>
  </r>
  <r>
    <n v="682"/>
    <x v="730"/>
    <x v="730"/>
    <x v="730"/>
    <x v="2"/>
    <x v="603"/>
    <x v="5"/>
    <x v="5"/>
    <s v="-31,3477902896523, -64,2644406169297"/>
    <d v="1967-06-27T00:00:00"/>
    <n v="55"/>
    <x v="0"/>
    <x v="0"/>
    <s v="🚺"/>
    <x v="4"/>
    <d v="2002-09-26T00:00:00"/>
    <n v="20"/>
    <x v="3"/>
    <x v="1"/>
    <s v="🚺"/>
    <n v="1"/>
    <x v="1"/>
    <x v="0"/>
    <s v="No aplica"/>
    <s v="Grafitis en edificios públicos"/>
    <x v="0"/>
    <x v="0"/>
    <s v="Cerrado"/>
    <s v="No aplica"/>
  </r>
  <r>
    <n v="813"/>
    <x v="731"/>
    <x v="731"/>
    <x v="731"/>
    <x v="1"/>
    <x v="604"/>
    <x v="4"/>
    <x v="1"/>
    <s v="-31,4129883640337, -64,1681120522587"/>
    <d v="1997-11-22T00:00:00"/>
    <n v="22"/>
    <x v="1"/>
    <x v="1"/>
    <s v="🚹"/>
    <x v="1"/>
    <d v="2004-06-25T00:00:00"/>
    <n v="16"/>
    <x v="5"/>
    <x v="0"/>
    <s v="🚹"/>
    <n v="3"/>
    <x v="0"/>
    <x v="0"/>
    <s v="Por vínculo"/>
    <s v="No aplica"/>
    <x v="0"/>
    <x v="0"/>
    <s v="Cerrado"/>
    <s v="285"/>
  </r>
  <r>
    <n v="816"/>
    <x v="732"/>
    <x v="732"/>
    <x v="732"/>
    <x v="3"/>
    <x v="605"/>
    <x v="7"/>
    <x v="5"/>
    <s v="-31,3477902896523, -64,2644406169297"/>
    <d v="1965-10-14T00:00:00"/>
    <n v="58"/>
    <x v="5"/>
    <x v="1"/>
    <s v="🚹"/>
    <x v="0"/>
    <d v="2010-12-01T00:00:00"/>
    <n v="13"/>
    <x v="5"/>
    <x v="1"/>
    <s v="🚺"/>
    <n v="2"/>
    <x v="0"/>
    <x v="0"/>
    <s v="No aplica"/>
    <s v="Grafitis en edificios públicos"/>
    <x v="1"/>
    <x v="1"/>
    <s v="En investigación"/>
    <s v="58"/>
  </r>
  <r>
    <n v="819"/>
    <x v="733"/>
    <x v="733"/>
    <x v="733"/>
    <x v="3"/>
    <x v="288"/>
    <x v="0"/>
    <x v="9"/>
    <s v="-31,4076397196409, -64,2020170430678"/>
    <d v="1970-07-03T00:00:00"/>
    <n v="53"/>
    <x v="0"/>
    <x v="0"/>
    <s v="🚺"/>
    <x v="0"/>
    <d v="1952-09-01T00:00:00"/>
    <n v="71"/>
    <x v="0"/>
    <x v="0"/>
    <s v="🚹"/>
    <n v="1"/>
    <x v="0"/>
    <x v="0"/>
    <s v="No aplica"/>
    <s v="Dinero público desviado"/>
    <x v="1"/>
    <x v="0"/>
    <s v="Cerrado"/>
    <s v="204"/>
  </r>
  <r>
    <n v="820"/>
    <x v="734"/>
    <x v="734"/>
    <x v="734"/>
    <x v="4"/>
    <x v="453"/>
    <x v="10"/>
    <x v="7"/>
    <s v="-31,4015892433235, -64,160442876477"/>
    <d v="1985-10-01T00:00:00"/>
    <n v="37"/>
    <x v="6"/>
    <x v="1"/>
    <s v="🚹"/>
    <x v="0"/>
    <d v="1973-06-28T00:00:00"/>
    <n v="49"/>
    <x v="4"/>
    <x v="1"/>
    <s v="🚺"/>
    <n v="2"/>
    <x v="0"/>
    <x v="0"/>
    <s v="No aplica"/>
    <s v="Contrato fraudulento"/>
    <x v="0"/>
    <x v="0"/>
    <s v="Abierto"/>
    <s v="136"/>
  </r>
  <r>
    <n v="911"/>
    <x v="735"/>
    <x v="735"/>
    <x v="735"/>
    <x v="3"/>
    <x v="111"/>
    <x v="2"/>
    <x v="2"/>
    <s v="-31,334500143441, -64,2460773260564"/>
    <d v="1987-01-26T00:00:00"/>
    <n v="36"/>
    <x v="6"/>
    <x v="1"/>
    <s v="🚹"/>
    <x v="2"/>
    <d v="1942-02-15T00:00:00"/>
    <n v="81"/>
    <x v="0"/>
    <x v="1"/>
    <s v="🚺"/>
    <n v="1"/>
    <x v="1"/>
    <x v="0"/>
    <s v="No aplica"/>
    <s v="Cartera con documentación"/>
    <x v="1"/>
    <x v="1"/>
    <s v="Cerrado"/>
    <s v="No aplica"/>
  </r>
  <r>
    <n v="5"/>
    <x v="736"/>
    <x v="736"/>
    <x v="736"/>
    <x v="1"/>
    <x v="606"/>
    <x v="2"/>
    <x v="3"/>
    <s v="-31,4148488101991, -64,1793406489438"/>
    <d v="1995-12-03T00:00:00"/>
    <n v="27"/>
    <x v="3"/>
    <x v="0"/>
    <s v="🚺"/>
    <x v="4"/>
    <d v="1965-10-24T00:00:00"/>
    <n v="57"/>
    <x v="2"/>
    <x v="1"/>
    <s v="🚺"/>
    <n v="2"/>
    <x v="1"/>
    <x v="0"/>
    <s v="No aplica"/>
    <s v="Lavado de dinero"/>
    <x v="1"/>
    <x v="0"/>
    <s v="En investigación"/>
    <s v="No aplica"/>
  </r>
  <r>
    <n v="821"/>
    <x v="737"/>
    <x v="737"/>
    <x v="737"/>
    <x v="4"/>
    <x v="607"/>
    <x v="5"/>
    <x v="9"/>
    <s v="-31,4076397196409, -64,2020170430678"/>
    <d v="1991-05-18T00:00:00"/>
    <n v="23"/>
    <x v="1"/>
    <x v="0"/>
    <s v="🚺"/>
    <x v="1"/>
    <d v="1968-09-04T00:00:00"/>
    <n v="46"/>
    <x v="4"/>
    <x v="0"/>
    <s v="🚹"/>
    <n v="1"/>
    <x v="0"/>
    <x v="2"/>
    <s v="No aplica"/>
    <s v="Auto modelo XXX, patente XXX XXX"/>
    <x v="0"/>
    <x v="1"/>
    <s v="Cerrado"/>
    <s v="95"/>
  </r>
  <r>
    <n v="823"/>
    <x v="738"/>
    <x v="738"/>
    <x v="738"/>
    <x v="6"/>
    <x v="608"/>
    <x v="4"/>
    <x v="3"/>
    <s v="-31,4148488101991, -64,1793406489438"/>
    <d v="1998-07-07T00:00:00"/>
    <n v="26"/>
    <x v="3"/>
    <x v="0"/>
    <s v="🚺"/>
    <x v="1"/>
    <d v="1998-08-08T00:00:00"/>
    <n v="26"/>
    <x v="6"/>
    <x v="0"/>
    <s v="🚹"/>
    <n v="2"/>
    <x v="0"/>
    <x v="2"/>
    <s v="Con ensañamiento"/>
    <s v="No aplica"/>
    <x v="1"/>
    <x v="0"/>
    <s v="Abierto"/>
    <s v="111"/>
  </r>
  <r>
    <n v="826"/>
    <x v="716"/>
    <x v="716"/>
    <x v="716"/>
    <x v="2"/>
    <x v="609"/>
    <x v="7"/>
    <x v="1"/>
    <s v="-31,4129883640337, -64,1681120522587"/>
    <d v="1958-10-22T00:00:00"/>
    <n v="62"/>
    <x v="5"/>
    <x v="0"/>
    <s v="🚺"/>
    <x v="1"/>
    <d v="1941-10-08T00:00:00"/>
    <n v="79"/>
    <x v="0"/>
    <x v="0"/>
    <s v="🚹"/>
    <n v="3"/>
    <x v="0"/>
    <x v="0"/>
    <s v="No aplica"/>
    <s v="Pasta base"/>
    <x v="1"/>
    <x v="0"/>
    <s v="Cerrado"/>
    <s v="293"/>
  </r>
  <r>
    <n v="15"/>
    <x v="259"/>
    <x v="259"/>
    <x v="259"/>
    <x v="3"/>
    <x v="610"/>
    <x v="4"/>
    <x v="6"/>
    <s v="-31,3909520937826, -64,1836424491715"/>
    <d v="1990-10-19T00:00:00"/>
    <n v="32"/>
    <x v="3"/>
    <x v="1"/>
    <s v="🚹"/>
    <x v="2"/>
    <d v="1978-11-16T00:00:00"/>
    <n v="44"/>
    <x v="1"/>
    <x v="0"/>
    <s v="🚹"/>
    <n v="1"/>
    <x v="1"/>
    <x v="3"/>
    <s v="No aplica"/>
    <s v="Celular, tarjetas bancarias"/>
    <x v="1"/>
    <x v="1"/>
    <s v="Abierto"/>
    <s v="No aplica"/>
  </r>
  <r>
    <n v="828"/>
    <x v="710"/>
    <x v="710"/>
    <x v="710"/>
    <x v="4"/>
    <x v="393"/>
    <x v="1"/>
    <x v="0"/>
    <s v="-31,4800162965848, -64,2094200976892"/>
    <d v="1995-11-21T00:00:00"/>
    <n v="27"/>
    <x v="3"/>
    <x v="1"/>
    <s v="🚹"/>
    <x v="3"/>
    <d v="1954-02-17T00:00:00"/>
    <n v="69"/>
    <x v="0"/>
    <x v="0"/>
    <s v="🚹"/>
    <n v="3"/>
    <x v="0"/>
    <x v="4"/>
    <s v="No aplica"/>
    <s v="Auto modelo XXX, patente XXX XXX"/>
    <x v="1"/>
    <x v="0"/>
    <s v="En investigación"/>
    <s v="216"/>
  </r>
  <r>
    <n v="540"/>
    <x v="739"/>
    <x v="739"/>
    <x v="739"/>
    <x v="1"/>
    <x v="611"/>
    <x v="5"/>
    <x v="1"/>
    <s v="-31,4129883640337, -64,1681120522587"/>
    <d v="1990-05-11T00:00:00"/>
    <n v="33"/>
    <x v="3"/>
    <x v="0"/>
    <s v="🚺"/>
    <x v="1"/>
    <d v="1985-12-13T00:00:00"/>
    <n v="37"/>
    <x v="1"/>
    <x v="0"/>
    <s v="🚹"/>
    <n v="2"/>
    <x v="1"/>
    <x v="0"/>
    <s v="No aplica"/>
    <s v="Estafa bancaria"/>
    <x v="1"/>
    <x v="1"/>
    <s v="En investigación"/>
    <s v="No aplica"/>
  </r>
  <r>
    <n v="824"/>
    <x v="740"/>
    <x v="740"/>
    <x v="740"/>
    <x v="3"/>
    <x v="612"/>
    <x v="10"/>
    <x v="0"/>
    <s v="-31,4800162965848, -64,2094200976892"/>
    <d v="1968-06-23T00:00:00"/>
    <n v="55"/>
    <x v="0"/>
    <x v="1"/>
    <s v="🚹"/>
    <x v="3"/>
    <d v="1940-06-27T00:00:00"/>
    <n v="83"/>
    <x v="0"/>
    <x v="1"/>
    <s v="🚺"/>
    <n v="1"/>
    <x v="1"/>
    <x v="0"/>
    <s v="No aplica"/>
    <s v="Vidrios de comercio rotos"/>
    <x v="1"/>
    <x v="1"/>
    <s v="Cerrado"/>
    <s v="No aplica"/>
  </r>
  <r>
    <n v="92"/>
    <x v="741"/>
    <x v="741"/>
    <x v="741"/>
    <x v="5"/>
    <x v="221"/>
    <x v="11"/>
    <x v="5"/>
    <s v="-31,3477902896523, -64,2644406169297"/>
    <d v="1957-07-17T00:00:00"/>
    <n v="66"/>
    <x v="4"/>
    <x v="0"/>
    <s v="🚺"/>
    <x v="0"/>
    <d v="2015-04-01T00:00:00"/>
    <n v="8"/>
    <x v="5"/>
    <x v="0"/>
    <s v="🚹"/>
    <n v="1"/>
    <x v="1"/>
    <x v="0"/>
    <s v="No aplica"/>
    <s v="No aplica"/>
    <x v="1"/>
    <x v="0"/>
    <s v="En investigación"/>
    <s v="No aplica"/>
  </r>
  <r>
    <n v="801"/>
    <x v="741"/>
    <x v="741"/>
    <x v="741"/>
    <x v="5"/>
    <x v="495"/>
    <x v="1"/>
    <x v="8"/>
    <s v="-31,423018915313, -64,1493562190664"/>
    <d v="1977-10-11T00:00:00"/>
    <n v="45"/>
    <x v="6"/>
    <x v="1"/>
    <s v="🚹"/>
    <x v="0"/>
    <d v="1957-12-08T00:00:00"/>
    <n v="65"/>
    <x v="0"/>
    <x v="1"/>
    <s v="🚺"/>
    <n v="2"/>
    <x v="1"/>
    <x v="2"/>
    <s v="No aplica"/>
    <s v="Billetera con $15,000 ARG"/>
    <x v="1"/>
    <x v="0"/>
    <s v="Cerrado"/>
    <s v="No aplica"/>
  </r>
  <r>
    <n v="465"/>
    <x v="742"/>
    <x v="742"/>
    <x v="742"/>
    <x v="6"/>
    <x v="613"/>
    <x v="5"/>
    <x v="2"/>
    <s v="-31,334500143441, -64,2460773260564"/>
    <d v="1954-03-21T00:00:00"/>
    <n v="69"/>
    <x v="4"/>
    <x v="0"/>
    <s v="🚺"/>
    <x v="4"/>
    <d v="1948-09-03T00:00:00"/>
    <n v="74"/>
    <x v="0"/>
    <x v="1"/>
    <s v="🚺"/>
    <n v="1"/>
    <x v="1"/>
    <x v="3"/>
    <s v="No aplica"/>
    <s v="Celular, tarjetas bancarias"/>
    <x v="0"/>
    <x v="1"/>
    <s v="Cerrado"/>
    <s v="No aplica"/>
  </r>
  <r>
    <n v="954"/>
    <x v="742"/>
    <x v="742"/>
    <x v="742"/>
    <x v="6"/>
    <x v="607"/>
    <x v="11"/>
    <x v="2"/>
    <s v="-31,334500143441, -64,2460773260564"/>
    <d v="2001-07-05T00:00:00"/>
    <n v="22"/>
    <x v="1"/>
    <x v="0"/>
    <s v="🚺"/>
    <x v="0"/>
    <d v="1974-09-08T00:00:00"/>
    <n v="48"/>
    <x v="4"/>
    <x v="0"/>
    <s v="🚹"/>
    <n v="1"/>
    <x v="1"/>
    <x v="0"/>
    <s v="Con ensañamiento"/>
    <s v="No aplica"/>
    <x v="0"/>
    <x v="1"/>
    <s v="Cerrado"/>
    <s v="No aplica"/>
  </r>
  <r>
    <n v="829"/>
    <x v="743"/>
    <x v="743"/>
    <x v="743"/>
    <x v="4"/>
    <x v="614"/>
    <x v="9"/>
    <x v="10"/>
    <s v="-31,4285567311661, -64,1853198281007"/>
    <d v="1981-06-07T00:00:00"/>
    <n v="36"/>
    <x v="6"/>
    <x v="0"/>
    <s v="🚺"/>
    <x v="2"/>
    <d v="1962-02-20T00:00:00"/>
    <n v="56"/>
    <x v="2"/>
    <x v="1"/>
    <s v="🚺"/>
    <n v="2"/>
    <x v="0"/>
    <x v="1"/>
    <s v="No aplica"/>
    <s v="Billetera con $15,000 ARG"/>
    <x v="0"/>
    <x v="1"/>
    <s v="Cerrado"/>
    <s v="191"/>
  </r>
  <r>
    <n v="78"/>
    <x v="744"/>
    <x v="744"/>
    <x v="744"/>
    <x v="2"/>
    <x v="615"/>
    <x v="2"/>
    <x v="10"/>
    <s v="-31,4285567311661, -64,1853198281007"/>
    <d v="1974-05-15T00:00:00"/>
    <n v="49"/>
    <x v="0"/>
    <x v="1"/>
    <s v="🚹"/>
    <x v="4"/>
    <d v="1991-07-02T00:00:00"/>
    <n v="32"/>
    <x v="6"/>
    <x v="0"/>
    <s v="🚹"/>
    <n v="2"/>
    <x v="1"/>
    <x v="0"/>
    <s v="No aplica"/>
    <s v="Evasión fiscal"/>
    <x v="1"/>
    <x v="0"/>
    <s v="Abierto"/>
    <s v="No aplica"/>
  </r>
  <r>
    <n v="830"/>
    <x v="707"/>
    <x v="707"/>
    <x v="707"/>
    <x v="5"/>
    <x v="596"/>
    <x v="9"/>
    <x v="9"/>
    <s v="-31,4076397196409, -64,2020170430678"/>
    <d v="1950-05-26T00:00:00"/>
    <n v="72"/>
    <x v="4"/>
    <x v="0"/>
    <s v="🚺"/>
    <x v="0"/>
    <d v="1952-04-01T00:00:00"/>
    <n v="70"/>
    <x v="0"/>
    <x v="0"/>
    <s v="🚹"/>
    <n v="1"/>
    <x v="0"/>
    <x v="1"/>
    <s v="Sin agravantes"/>
    <s v="No aplica"/>
    <x v="1"/>
    <x v="0"/>
    <s v="Abierto"/>
    <s v="267"/>
  </r>
  <r>
    <n v="913"/>
    <x v="745"/>
    <x v="745"/>
    <x v="745"/>
    <x v="3"/>
    <x v="616"/>
    <x v="2"/>
    <x v="3"/>
    <s v="-31,4148488101991, -64,1793406489438"/>
    <d v="1964-06-14T00:00:00"/>
    <n v="59"/>
    <x v="5"/>
    <x v="1"/>
    <s v="🚹"/>
    <x v="1"/>
    <d v="1985-07-12T00:00:00"/>
    <n v="38"/>
    <x v="1"/>
    <x v="0"/>
    <s v="🚹"/>
    <n v="1"/>
    <x v="1"/>
    <x v="0"/>
    <s v="No aplica"/>
    <s v="Dinero público desviado"/>
    <x v="1"/>
    <x v="1"/>
    <s v="Cerrado"/>
    <s v="No aplica"/>
  </r>
  <r>
    <n v="248"/>
    <x v="746"/>
    <x v="746"/>
    <x v="746"/>
    <x v="2"/>
    <x v="285"/>
    <x v="9"/>
    <x v="9"/>
    <s v="-31,4076397196409, -64,2020170430678"/>
    <d v="1993-12-04T00:00:00"/>
    <n v="29"/>
    <x v="3"/>
    <x v="0"/>
    <s v="🚺"/>
    <x v="1"/>
    <d v="1949-04-18T00:00:00"/>
    <n v="74"/>
    <x v="0"/>
    <x v="0"/>
    <s v="🚹"/>
    <n v="1"/>
    <x v="1"/>
    <x v="0"/>
    <s v="No aplica"/>
    <s v="Contrato fraudulento"/>
    <x v="1"/>
    <x v="0"/>
    <s v="Cerrado"/>
    <s v="No aplica"/>
  </r>
  <r>
    <n v="445"/>
    <x v="747"/>
    <x v="747"/>
    <x v="747"/>
    <x v="3"/>
    <x v="351"/>
    <x v="4"/>
    <x v="6"/>
    <s v="-31,3909520937826, -64,1836424491715"/>
    <d v="1967-09-19T00:00:00"/>
    <n v="55"/>
    <x v="0"/>
    <x v="0"/>
    <s v="🚺"/>
    <x v="0"/>
    <d v="1976-03-05T00:00:00"/>
    <n v="47"/>
    <x v="4"/>
    <x v="1"/>
    <s v="🚺"/>
    <n v="3"/>
    <x v="1"/>
    <x v="0"/>
    <s v="No aplica"/>
    <s v="Lavado de dinero"/>
    <x v="1"/>
    <x v="1"/>
    <s v="En investigación"/>
    <s v="No aplica"/>
  </r>
  <r>
    <n v="834"/>
    <x v="748"/>
    <x v="748"/>
    <x v="748"/>
    <x v="2"/>
    <x v="617"/>
    <x v="3"/>
    <x v="11"/>
    <s v="-31,4506257494184, -64,1733054344705"/>
    <d v="2001-04-19T00:00:00"/>
    <n v="22"/>
    <x v="1"/>
    <x v="0"/>
    <s v="🚺"/>
    <x v="2"/>
    <d v="2010-06-08T00:00:00"/>
    <n v="12"/>
    <x v="5"/>
    <x v="0"/>
    <s v="🚹"/>
    <n v="1"/>
    <x v="0"/>
    <x v="0"/>
    <s v="No aplica"/>
    <s v="Cuentas falsas"/>
    <x v="0"/>
    <x v="0"/>
    <s v="Abierto"/>
    <s v="186"/>
  </r>
  <r>
    <n v="979"/>
    <x v="749"/>
    <x v="749"/>
    <x v="749"/>
    <x v="2"/>
    <x v="576"/>
    <x v="9"/>
    <x v="10"/>
    <s v="-31,4285567311661, -64,1853198281007"/>
    <d v="1978-07-23T00:00:00"/>
    <n v="45"/>
    <x v="6"/>
    <x v="1"/>
    <s v="🚹"/>
    <x v="0"/>
    <d v="2015-09-04T00:00:00"/>
    <n v="7"/>
    <x v="5"/>
    <x v="0"/>
    <s v="🚹"/>
    <n v="3"/>
    <x v="1"/>
    <x v="0"/>
    <s v="Con ensañamiento"/>
    <s v="No aplica"/>
    <x v="1"/>
    <x v="0"/>
    <s v="Abierto"/>
    <s v="No aplica"/>
  </r>
  <r>
    <n v="838"/>
    <x v="750"/>
    <x v="750"/>
    <x v="750"/>
    <x v="2"/>
    <x v="618"/>
    <x v="7"/>
    <x v="11"/>
    <s v="-31,4506257494184, -64,1733054344705"/>
    <d v="1984-10-15T00:00:00"/>
    <n v="38"/>
    <x v="6"/>
    <x v="0"/>
    <s v="🚺"/>
    <x v="2"/>
    <d v="1989-06-27T00:00:00"/>
    <n v="33"/>
    <x v="6"/>
    <x v="1"/>
    <s v="🚺"/>
    <n v="3"/>
    <x v="0"/>
    <x v="0"/>
    <s v="No aplica"/>
    <s v="Celular"/>
    <x v="1"/>
    <x v="0"/>
    <s v="Abierto"/>
    <s v="215"/>
  </r>
  <r>
    <n v="930"/>
    <x v="751"/>
    <x v="751"/>
    <x v="751"/>
    <x v="2"/>
    <x v="619"/>
    <x v="2"/>
    <x v="4"/>
    <s v="-31,3759272890294, -64,2284587792478"/>
    <d v="1970-06-16T00:00:00"/>
    <n v="53"/>
    <x v="0"/>
    <x v="1"/>
    <s v="🚹"/>
    <x v="4"/>
    <d v="1959-11-27T00:00:00"/>
    <n v="63"/>
    <x v="2"/>
    <x v="1"/>
    <s v="🚺"/>
    <n v="2"/>
    <x v="1"/>
    <x v="0"/>
    <s v="No aplica"/>
    <s v="Grafitis en edificios públicos"/>
    <x v="0"/>
    <x v="1"/>
    <s v="En investigación"/>
    <s v="No aplica"/>
  </r>
  <r>
    <n v="413"/>
    <x v="752"/>
    <x v="752"/>
    <x v="752"/>
    <x v="3"/>
    <x v="337"/>
    <x v="10"/>
    <x v="0"/>
    <s v="-31,4800162965848, -64,2094200976892"/>
    <d v="1959-07-10T00:00:00"/>
    <n v="64"/>
    <x v="5"/>
    <x v="0"/>
    <s v="🚺"/>
    <x v="2"/>
    <d v="2008-03-11T00:00:00"/>
    <n v="15"/>
    <x v="5"/>
    <x v="1"/>
    <s v="🚺"/>
    <n v="3"/>
    <x v="1"/>
    <x v="4"/>
    <s v="No aplica"/>
    <s v="Laptop marca HP"/>
    <x v="1"/>
    <x v="0"/>
    <s v="Abierto"/>
    <s v="No aplica"/>
  </r>
  <r>
    <n v="840"/>
    <x v="753"/>
    <x v="753"/>
    <x v="753"/>
    <x v="6"/>
    <x v="605"/>
    <x v="9"/>
    <x v="8"/>
    <s v="-31,423018915313, -64,1493562190664"/>
    <d v="1964-09-02T00:00:00"/>
    <n v="50"/>
    <x v="0"/>
    <x v="0"/>
    <s v="🚺"/>
    <x v="4"/>
    <d v="1957-08-10T00:00:00"/>
    <n v="57"/>
    <x v="2"/>
    <x v="1"/>
    <s v="🚺"/>
    <n v="1"/>
    <x v="0"/>
    <x v="0"/>
    <s v="No aplica"/>
    <s v="Ropa de marca"/>
    <x v="0"/>
    <x v="0"/>
    <s v="Cerrado"/>
    <s v="163"/>
  </r>
  <r>
    <n v="204"/>
    <x v="754"/>
    <x v="754"/>
    <x v="754"/>
    <x v="5"/>
    <x v="286"/>
    <x v="8"/>
    <x v="6"/>
    <s v="-31,3909520937826, -64,1836424491715"/>
    <d v="1973-10-09T00:00:00"/>
    <n v="49"/>
    <x v="0"/>
    <x v="1"/>
    <s v="🚹"/>
    <x v="3"/>
    <d v="1993-04-25T00:00:00"/>
    <n v="30"/>
    <x v="6"/>
    <x v="1"/>
    <s v="🚺"/>
    <n v="1"/>
    <x v="1"/>
    <x v="4"/>
    <s v="No aplica"/>
    <s v="Laptop marca HP"/>
    <x v="1"/>
    <x v="0"/>
    <s v="Cerrado"/>
    <s v="No aplica"/>
  </r>
  <r>
    <n v="841"/>
    <x v="755"/>
    <x v="755"/>
    <x v="755"/>
    <x v="2"/>
    <x v="620"/>
    <x v="3"/>
    <x v="4"/>
    <s v="-31,3759272890294, -64,2284587792478"/>
    <d v="2003-04-20T00:00:00"/>
    <n v="17"/>
    <x v="2"/>
    <x v="0"/>
    <s v="🚺"/>
    <x v="1"/>
    <d v="2013-09-03T00:00:00"/>
    <n v="6"/>
    <x v="5"/>
    <x v="1"/>
    <s v="🚺"/>
    <n v="1"/>
    <x v="0"/>
    <x v="0"/>
    <s v="No aplica"/>
    <s v="Estafa bancaria"/>
    <x v="1"/>
    <x v="1"/>
    <s v="Abierto"/>
    <s v="300"/>
  </r>
  <r>
    <n v="843"/>
    <x v="756"/>
    <x v="756"/>
    <x v="756"/>
    <x v="2"/>
    <x v="621"/>
    <x v="8"/>
    <x v="4"/>
    <s v="-31,3759272890294, -64,2284587792478"/>
    <d v="1962-04-09T00:00:00"/>
    <n v="55"/>
    <x v="0"/>
    <x v="1"/>
    <s v="🚹"/>
    <x v="2"/>
    <d v="1967-02-03T00:00:00"/>
    <n v="50"/>
    <x v="4"/>
    <x v="0"/>
    <s v="🚹"/>
    <n v="2"/>
    <x v="0"/>
    <x v="0"/>
    <s v="No aplica"/>
    <s v="Contrato fraudulento"/>
    <x v="1"/>
    <x v="0"/>
    <s v="Abierto"/>
    <s v="62"/>
  </r>
  <r>
    <n v="844"/>
    <x v="757"/>
    <x v="757"/>
    <x v="757"/>
    <x v="3"/>
    <x v="445"/>
    <x v="9"/>
    <x v="0"/>
    <s v="-31,4800162965848, -64,2094200976892"/>
    <d v="1959-08-01T00:00:00"/>
    <n v="60"/>
    <x v="5"/>
    <x v="1"/>
    <s v="🚹"/>
    <x v="4"/>
    <d v="1992-10-08T00:00:00"/>
    <n v="27"/>
    <x v="6"/>
    <x v="0"/>
    <s v="🚹"/>
    <n v="2"/>
    <x v="0"/>
    <x v="3"/>
    <s v="No aplica"/>
    <s v="Laptop marca HP"/>
    <x v="0"/>
    <x v="0"/>
    <s v="En investigación"/>
    <s v="71"/>
  </r>
  <r>
    <n v="846"/>
    <x v="758"/>
    <x v="758"/>
    <x v="758"/>
    <x v="4"/>
    <x v="622"/>
    <x v="2"/>
    <x v="1"/>
    <s v="-31,4129883640337, -64,1681120522587"/>
    <d v="1997-10-06T00:00:00"/>
    <n v="20"/>
    <x v="1"/>
    <x v="0"/>
    <s v="🚺"/>
    <x v="0"/>
    <d v="1946-08-28T00:00:00"/>
    <n v="71"/>
    <x v="0"/>
    <x v="0"/>
    <s v="🚹"/>
    <n v="3"/>
    <x v="0"/>
    <x v="0"/>
    <s v="No aplica"/>
    <s v="No aplica"/>
    <x v="1"/>
    <x v="1"/>
    <s v="Cerrado"/>
    <s v="262"/>
  </r>
  <r>
    <n v="847"/>
    <x v="759"/>
    <x v="759"/>
    <x v="759"/>
    <x v="2"/>
    <x v="421"/>
    <x v="5"/>
    <x v="7"/>
    <s v="-31,4015892433235, -64,160442876477"/>
    <d v="1950-08-25T00:00:00"/>
    <n v="73"/>
    <x v="4"/>
    <x v="1"/>
    <s v="🚹"/>
    <x v="1"/>
    <d v="1943-11-25T00:00:00"/>
    <n v="80"/>
    <x v="0"/>
    <x v="1"/>
    <s v="🚺"/>
    <n v="1"/>
    <x v="0"/>
    <x v="0"/>
    <s v="Sin agravantes"/>
    <s v="No aplica"/>
    <x v="1"/>
    <x v="0"/>
    <s v="Abierto"/>
    <s v="243"/>
  </r>
  <r>
    <n v="849"/>
    <x v="760"/>
    <x v="760"/>
    <x v="760"/>
    <x v="1"/>
    <x v="302"/>
    <x v="9"/>
    <x v="6"/>
    <s v="-31,3909520937826, -64,1836424491715"/>
    <d v="1976-01-19T00:00:00"/>
    <n v="42"/>
    <x v="6"/>
    <x v="0"/>
    <s v="🚺"/>
    <x v="3"/>
    <d v="1972-03-09T00:00:00"/>
    <n v="46"/>
    <x v="4"/>
    <x v="1"/>
    <s v="🚺"/>
    <n v="2"/>
    <x v="0"/>
    <x v="0"/>
    <s v="Alevosía"/>
    <s v="No aplica"/>
    <x v="0"/>
    <x v="1"/>
    <s v="En investigación"/>
    <s v="162"/>
  </r>
  <r>
    <n v="851"/>
    <x v="761"/>
    <x v="761"/>
    <x v="761"/>
    <x v="0"/>
    <x v="607"/>
    <x v="10"/>
    <x v="9"/>
    <s v="-31,4076397196409, -64,2020170430678"/>
    <d v="1969-06-23T00:00:00"/>
    <n v="47"/>
    <x v="0"/>
    <x v="0"/>
    <s v="🚺"/>
    <x v="1"/>
    <d v="1966-07-14T00:00:00"/>
    <n v="50"/>
    <x v="4"/>
    <x v="0"/>
    <s v="🚹"/>
    <n v="1"/>
    <x v="0"/>
    <x v="0"/>
    <s v="No aplica"/>
    <s v="Ropa de marca"/>
    <x v="1"/>
    <x v="0"/>
    <s v="Abierto"/>
    <s v="16"/>
  </r>
  <r>
    <n v="703"/>
    <x v="762"/>
    <x v="762"/>
    <x v="762"/>
    <x v="1"/>
    <x v="254"/>
    <x v="2"/>
    <x v="2"/>
    <s v="-31,334500143441, -64,2460773260564"/>
    <d v="1955-01-25T00:00:00"/>
    <n v="68"/>
    <x v="4"/>
    <x v="0"/>
    <s v="🚺"/>
    <x v="0"/>
    <d v="1967-12-13T00:00:00"/>
    <n v="55"/>
    <x v="4"/>
    <x v="0"/>
    <s v="🚹"/>
    <n v="2"/>
    <x v="1"/>
    <x v="0"/>
    <s v="No aplica"/>
    <s v="No aplica"/>
    <x v="1"/>
    <x v="1"/>
    <s v="En investigación"/>
    <s v="No aplica"/>
  </r>
  <r>
    <n v="305"/>
    <x v="763"/>
    <x v="763"/>
    <x v="763"/>
    <x v="6"/>
    <x v="415"/>
    <x v="11"/>
    <x v="8"/>
    <s v="-31,423018915313, -64,1493562190664"/>
    <d v="1955-08-03T00:00:00"/>
    <n v="68"/>
    <x v="4"/>
    <x v="0"/>
    <s v="🚺"/>
    <x v="1"/>
    <d v="1992-04-19T00:00:00"/>
    <n v="31"/>
    <x v="6"/>
    <x v="1"/>
    <s v="🚺"/>
    <n v="3"/>
    <x v="1"/>
    <x v="0"/>
    <s v="No aplica"/>
    <s v="Celular"/>
    <x v="1"/>
    <x v="0"/>
    <s v="Abierto"/>
    <s v="No aplica"/>
  </r>
  <r>
    <n v="853"/>
    <x v="764"/>
    <x v="764"/>
    <x v="764"/>
    <x v="2"/>
    <x v="518"/>
    <x v="5"/>
    <x v="4"/>
    <s v="-31,3759272890294, -64,2284587792478"/>
    <d v="1957-09-28T00:00:00"/>
    <n v="65"/>
    <x v="4"/>
    <x v="1"/>
    <s v="🚹"/>
    <x v="3"/>
    <d v="1967-05-14T00:00:00"/>
    <n v="56"/>
    <x v="2"/>
    <x v="1"/>
    <s v="🚺"/>
    <n v="2"/>
    <x v="0"/>
    <x v="1"/>
    <s v="No aplica"/>
    <s v="Laptop marca HP"/>
    <x v="1"/>
    <x v="0"/>
    <s v="Cerrado"/>
    <s v="241"/>
  </r>
  <r>
    <n v="855"/>
    <x v="765"/>
    <x v="765"/>
    <x v="765"/>
    <x v="0"/>
    <x v="623"/>
    <x v="8"/>
    <x v="6"/>
    <s v="-31,3909520937826, -64,1836424491715"/>
    <d v="1953-10-12T00:00:00"/>
    <n v="71"/>
    <x v="4"/>
    <x v="1"/>
    <s v="🚹"/>
    <x v="3"/>
    <d v="1964-05-22T00:00:00"/>
    <n v="60"/>
    <x v="2"/>
    <x v="0"/>
    <s v="🚹"/>
    <n v="2"/>
    <x v="0"/>
    <x v="4"/>
    <s v="Por vínculo"/>
    <s v="No aplica"/>
    <x v="1"/>
    <x v="0"/>
    <s v="Cerrado"/>
    <s v="186"/>
  </r>
  <r>
    <n v="752"/>
    <x v="766"/>
    <x v="766"/>
    <x v="766"/>
    <x v="0"/>
    <x v="619"/>
    <x v="2"/>
    <x v="11"/>
    <s v="-31,4506257494184, -64,1733054344705"/>
    <d v="1982-07-18T00:00:00"/>
    <n v="41"/>
    <x v="6"/>
    <x v="1"/>
    <s v="🚹"/>
    <x v="4"/>
    <d v="1952-07-13T00:00:00"/>
    <n v="71"/>
    <x v="0"/>
    <x v="1"/>
    <s v="🚺"/>
    <n v="1"/>
    <x v="1"/>
    <x v="0"/>
    <s v="No aplica"/>
    <s v="Ropa de marca"/>
    <x v="1"/>
    <x v="0"/>
    <s v="Abierto"/>
    <s v="No aplica"/>
  </r>
  <r>
    <n v="944"/>
    <x v="767"/>
    <x v="767"/>
    <x v="767"/>
    <x v="4"/>
    <x v="624"/>
    <x v="5"/>
    <x v="7"/>
    <s v="-31,4015892433235, -64,160442876477"/>
    <d v="1976-03-08T00:00:00"/>
    <n v="47"/>
    <x v="0"/>
    <x v="1"/>
    <s v="🚹"/>
    <x v="3"/>
    <d v="1985-05-06T00:00:00"/>
    <n v="38"/>
    <x v="1"/>
    <x v="1"/>
    <s v="🚺"/>
    <n v="1"/>
    <x v="1"/>
    <x v="0"/>
    <s v="Con ensañamiento"/>
    <s v="No aplica"/>
    <x v="1"/>
    <x v="1"/>
    <s v="En investigación"/>
    <s v="No aplica"/>
  </r>
  <r>
    <n v="103"/>
    <x v="768"/>
    <x v="768"/>
    <x v="768"/>
    <x v="6"/>
    <x v="625"/>
    <x v="3"/>
    <x v="11"/>
    <s v="-31,4506257494184, -64,1733054344705"/>
    <d v="1999-11-02T00:00:00"/>
    <n v="23"/>
    <x v="1"/>
    <x v="1"/>
    <s v="🚹"/>
    <x v="0"/>
    <d v="1986-05-01T00:00:00"/>
    <n v="37"/>
    <x v="1"/>
    <x v="0"/>
    <s v="🚹"/>
    <n v="1"/>
    <x v="1"/>
    <x v="0"/>
    <s v="Alevosía"/>
    <s v="No aplica"/>
    <x v="1"/>
    <x v="1"/>
    <s v="Abierto"/>
    <s v="No aplica"/>
  </r>
  <r>
    <n v="691"/>
    <x v="769"/>
    <x v="769"/>
    <x v="769"/>
    <x v="2"/>
    <x v="63"/>
    <x v="1"/>
    <x v="10"/>
    <s v="-31,4285567311661, -64,1853198281007"/>
    <d v="1999-02-03T00:00:00"/>
    <n v="24"/>
    <x v="1"/>
    <x v="1"/>
    <s v="🚹"/>
    <x v="1"/>
    <d v="1979-12-12T00:00:00"/>
    <n v="43"/>
    <x v="1"/>
    <x v="0"/>
    <s v="🚹"/>
    <n v="1"/>
    <x v="1"/>
    <x v="2"/>
    <s v="No aplica"/>
    <s v="Auto modelo XXX, patente XXX XXX"/>
    <x v="1"/>
    <x v="0"/>
    <s v="Abierto"/>
    <s v="No aplica"/>
  </r>
  <r>
    <n v="867"/>
    <x v="769"/>
    <x v="769"/>
    <x v="769"/>
    <x v="2"/>
    <x v="626"/>
    <x v="0"/>
    <x v="4"/>
    <s v="-31,3759272890294, -64,2284587792478"/>
    <d v="1994-12-03T00:00:00"/>
    <n v="28"/>
    <x v="3"/>
    <x v="1"/>
    <s v="🚹"/>
    <x v="0"/>
    <d v="1977-03-26T00:00:00"/>
    <n v="46"/>
    <x v="4"/>
    <x v="1"/>
    <s v="🚺"/>
    <n v="2"/>
    <x v="1"/>
    <x v="0"/>
    <s v="No aplica"/>
    <s v="Evasión fiscal"/>
    <x v="1"/>
    <x v="1"/>
    <s v="Cerrado"/>
    <s v="No aplica"/>
  </r>
  <r>
    <n v="856"/>
    <x v="640"/>
    <x v="640"/>
    <x v="640"/>
    <x v="5"/>
    <x v="627"/>
    <x v="10"/>
    <x v="7"/>
    <s v="-31,4015892433235, -64,160442876477"/>
    <d v="2005-08-24T00:00:00"/>
    <n v="16"/>
    <x v="2"/>
    <x v="0"/>
    <s v="🚺"/>
    <x v="3"/>
    <d v="1958-12-15T00:00:00"/>
    <n v="63"/>
    <x v="2"/>
    <x v="1"/>
    <s v="🚺"/>
    <n v="2"/>
    <x v="0"/>
    <x v="2"/>
    <s v="Con ensañamiento"/>
    <s v="No aplica"/>
    <x v="0"/>
    <x v="1"/>
    <s v="Cerrado"/>
    <s v="55"/>
  </r>
  <r>
    <n v="857"/>
    <x v="770"/>
    <x v="770"/>
    <x v="770"/>
    <x v="1"/>
    <x v="402"/>
    <x v="10"/>
    <x v="7"/>
    <s v="-31,4015892433235, -64,160442876477"/>
    <d v="1981-12-20T00:00:00"/>
    <n v="39"/>
    <x v="6"/>
    <x v="0"/>
    <s v="🚺"/>
    <x v="3"/>
    <d v="2007-09-13T00:00:00"/>
    <n v="13"/>
    <x v="5"/>
    <x v="0"/>
    <s v="🚹"/>
    <n v="2"/>
    <x v="0"/>
    <x v="0"/>
    <s v="No aplica"/>
    <s v="Estafa bancaria"/>
    <x v="1"/>
    <x v="1"/>
    <s v="Cerrado"/>
    <s v="222"/>
  </r>
  <r>
    <n v="859"/>
    <x v="326"/>
    <x v="326"/>
    <x v="326"/>
    <x v="6"/>
    <x v="628"/>
    <x v="8"/>
    <x v="5"/>
    <s v="-31,3477902896523, -64,2644406169297"/>
    <d v="1978-04-02T00:00:00"/>
    <n v="44"/>
    <x v="6"/>
    <x v="0"/>
    <s v="🚺"/>
    <x v="3"/>
    <d v="1955-08-03T00:00:00"/>
    <n v="67"/>
    <x v="0"/>
    <x v="1"/>
    <s v="🚺"/>
    <n v="1"/>
    <x v="0"/>
    <x v="0"/>
    <s v="No aplica"/>
    <s v="Grafitis en edificios públicos"/>
    <x v="1"/>
    <x v="0"/>
    <s v="Cerrado"/>
    <s v="136"/>
  </r>
  <r>
    <n v="224"/>
    <x v="771"/>
    <x v="771"/>
    <x v="771"/>
    <x v="4"/>
    <x v="269"/>
    <x v="10"/>
    <x v="7"/>
    <s v="-31,4015892433235, -64,160442876477"/>
    <d v="1974-03-13T00:00:00"/>
    <n v="49"/>
    <x v="0"/>
    <x v="1"/>
    <s v="🚹"/>
    <x v="0"/>
    <d v="1953-11-19T00:00:00"/>
    <n v="69"/>
    <x v="0"/>
    <x v="0"/>
    <s v="🚹"/>
    <n v="2"/>
    <x v="1"/>
    <x v="2"/>
    <s v="Con ensañamiento"/>
    <s v="No aplica"/>
    <x v="1"/>
    <x v="0"/>
    <s v="Abierto"/>
    <s v="No aplica"/>
  </r>
  <r>
    <n v="990"/>
    <x v="771"/>
    <x v="771"/>
    <x v="771"/>
    <x v="4"/>
    <x v="234"/>
    <x v="7"/>
    <x v="4"/>
    <s v="-31,3759272890294, -64,2284587792478"/>
    <d v="2002-06-21T00:00:00"/>
    <n v="21"/>
    <x v="1"/>
    <x v="0"/>
    <s v="🚺"/>
    <x v="4"/>
    <d v="2011-06-07T00:00:00"/>
    <n v="12"/>
    <x v="5"/>
    <x v="1"/>
    <s v="🚺"/>
    <n v="2"/>
    <x v="1"/>
    <x v="0"/>
    <s v="No aplica"/>
    <s v="Grafitis en edificios públicos"/>
    <x v="1"/>
    <x v="0"/>
    <s v="Cerrado"/>
    <s v="No aplica"/>
  </r>
  <r>
    <n v="860"/>
    <x v="730"/>
    <x v="730"/>
    <x v="730"/>
    <x v="2"/>
    <x v="629"/>
    <x v="4"/>
    <x v="11"/>
    <s v="-31,4506257494184, -64,1733054344705"/>
    <d v="1975-01-25T00:00:00"/>
    <n v="48"/>
    <x v="0"/>
    <x v="0"/>
    <s v="🚺"/>
    <x v="4"/>
    <d v="1963-02-06T00:00:00"/>
    <n v="60"/>
    <x v="2"/>
    <x v="1"/>
    <s v="🚺"/>
    <n v="2"/>
    <x v="0"/>
    <x v="2"/>
    <s v="Sin agravantes"/>
    <s v="No aplica"/>
    <x v="0"/>
    <x v="1"/>
    <s v="Cerrado"/>
    <s v="50"/>
  </r>
  <r>
    <n v="861"/>
    <x v="772"/>
    <x v="772"/>
    <x v="772"/>
    <x v="1"/>
    <x v="630"/>
    <x v="8"/>
    <x v="1"/>
    <s v="-31,4129883640337, -64,1681120522587"/>
    <d v="1964-10-22T00:00:00"/>
    <n v="50"/>
    <x v="0"/>
    <x v="1"/>
    <s v="🚹"/>
    <x v="2"/>
    <d v="1992-06-02T00:00:00"/>
    <n v="22"/>
    <x v="3"/>
    <x v="0"/>
    <s v="🚹"/>
    <n v="1"/>
    <x v="0"/>
    <x v="0"/>
    <s v="No aplica"/>
    <s v="Lavado de dinero"/>
    <x v="1"/>
    <x v="1"/>
    <s v="Abierto"/>
    <s v="224"/>
  </r>
  <r>
    <n v="862"/>
    <x v="773"/>
    <x v="773"/>
    <x v="773"/>
    <x v="5"/>
    <x v="631"/>
    <x v="4"/>
    <x v="6"/>
    <s v="-31,3909520937826, -64,1836424491715"/>
    <d v="2000-08-27T00:00:00"/>
    <n v="21"/>
    <x v="1"/>
    <x v="1"/>
    <s v="🚹"/>
    <x v="1"/>
    <d v="1960-04-19T00:00:00"/>
    <n v="61"/>
    <x v="2"/>
    <x v="1"/>
    <s v="🚺"/>
    <n v="3"/>
    <x v="0"/>
    <x v="0"/>
    <s v="No aplica"/>
    <s v="Celular"/>
    <x v="0"/>
    <x v="0"/>
    <s v="Cerrado"/>
    <s v="8"/>
  </r>
  <r>
    <n v="863"/>
    <x v="774"/>
    <x v="774"/>
    <x v="774"/>
    <x v="1"/>
    <x v="632"/>
    <x v="1"/>
    <x v="10"/>
    <s v="-31,4285567311661, -64,1853198281007"/>
    <d v="1984-01-11T00:00:00"/>
    <n v="40"/>
    <x v="6"/>
    <x v="1"/>
    <s v="🚹"/>
    <x v="2"/>
    <d v="2013-12-09T00:00:00"/>
    <n v="10"/>
    <x v="5"/>
    <x v="1"/>
    <s v="🚺"/>
    <n v="1"/>
    <x v="0"/>
    <x v="0"/>
    <s v="No aplica"/>
    <s v="Ropa de marca"/>
    <x v="0"/>
    <x v="1"/>
    <s v="Abierto"/>
    <s v="7"/>
  </r>
  <r>
    <n v="864"/>
    <x v="775"/>
    <x v="775"/>
    <x v="775"/>
    <x v="1"/>
    <x v="57"/>
    <x v="0"/>
    <x v="2"/>
    <s v="-31,334500143441, -64,2460773260564"/>
    <d v="1950-04-02T00:00:00"/>
    <n v="74"/>
    <x v="4"/>
    <x v="0"/>
    <s v="🚺"/>
    <x v="4"/>
    <d v="1998-11-24T00:00:00"/>
    <n v="25"/>
    <x v="3"/>
    <x v="0"/>
    <s v="🚹"/>
    <n v="3"/>
    <x v="0"/>
    <x v="0"/>
    <s v="No aplica"/>
    <s v="Grafitis en edificios públicos"/>
    <x v="1"/>
    <x v="0"/>
    <s v="Cerrado"/>
    <s v="90"/>
  </r>
  <r>
    <n v="865"/>
    <x v="776"/>
    <x v="776"/>
    <x v="776"/>
    <x v="4"/>
    <x v="279"/>
    <x v="0"/>
    <x v="1"/>
    <s v="-31,4129883640337, -64,1681120522587"/>
    <d v="1990-04-22T00:00:00"/>
    <n v="24"/>
    <x v="1"/>
    <x v="1"/>
    <s v="🚹"/>
    <x v="2"/>
    <d v="1977-05-19T00:00:00"/>
    <n v="37"/>
    <x v="1"/>
    <x v="1"/>
    <s v="🚺"/>
    <n v="3"/>
    <x v="0"/>
    <x v="0"/>
    <s v="No aplica"/>
    <s v="Plantas de marihuana"/>
    <x v="1"/>
    <x v="1"/>
    <s v="Abierto"/>
    <s v="8"/>
  </r>
  <r>
    <n v="995"/>
    <x v="777"/>
    <x v="777"/>
    <x v="777"/>
    <x v="4"/>
    <x v="633"/>
    <x v="5"/>
    <x v="10"/>
    <s v="-31,4285567311661, -64,1853198281007"/>
    <d v="2004-10-20T00:00:00"/>
    <n v="19"/>
    <x v="1"/>
    <x v="0"/>
    <s v="🚺"/>
    <x v="0"/>
    <d v="1975-07-18T00:00:00"/>
    <n v="48"/>
    <x v="4"/>
    <x v="1"/>
    <s v="🚺"/>
    <n v="1"/>
    <x v="1"/>
    <x v="0"/>
    <s v="No aplica"/>
    <s v="No aplica"/>
    <x v="0"/>
    <x v="1"/>
    <s v="Abierto"/>
    <s v="No aplica"/>
  </r>
  <r>
    <n v="866"/>
    <x v="778"/>
    <x v="778"/>
    <x v="778"/>
    <x v="6"/>
    <x v="28"/>
    <x v="4"/>
    <x v="1"/>
    <s v="-31,4129883640337, -64,1681120522587"/>
    <d v="1961-12-07T00:00:00"/>
    <n v="62"/>
    <x v="5"/>
    <x v="1"/>
    <s v="🚹"/>
    <x v="1"/>
    <d v="1943-04-21T00:00:00"/>
    <n v="81"/>
    <x v="0"/>
    <x v="0"/>
    <s v="🚹"/>
    <n v="1"/>
    <x v="0"/>
    <x v="4"/>
    <s v="Sin agravantes"/>
    <s v="No aplica"/>
    <x v="1"/>
    <x v="0"/>
    <s v="Abierto"/>
    <s v="16"/>
  </r>
  <r>
    <n v="335"/>
    <x v="779"/>
    <x v="779"/>
    <x v="779"/>
    <x v="4"/>
    <x v="634"/>
    <x v="4"/>
    <x v="11"/>
    <s v="-31,4506257494184, -64,1733054344705"/>
    <d v="1975-02-19T00:00:00"/>
    <n v="48"/>
    <x v="0"/>
    <x v="1"/>
    <s v="🚹"/>
    <x v="0"/>
    <d v="1954-02-25T00:00:00"/>
    <n v="69"/>
    <x v="0"/>
    <x v="1"/>
    <s v="🚺"/>
    <n v="1"/>
    <x v="1"/>
    <x v="1"/>
    <s v="No aplica"/>
    <s v="Celular, tarjetas bancarias"/>
    <x v="1"/>
    <x v="1"/>
    <s v="En investigación"/>
    <s v="No aplica"/>
  </r>
  <r>
    <n v="868"/>
    <x v="8"/>
    <x v="8"/>
    <x v="8"/>
    <x v="5"/>
    <x v="610"/>
    <x v="2"/>
    <x v="7"/>
    <s v="-31,4015892433235, -64,160442876477"/>
    <d v="1978-06-13T00:00:00"/>
    <n v="41"/>
    <x v="6"/>
    <x v="1"/>
    <s v="🚹"/>
    <x v="4"/>
    <d v="1980-02-04T00:00:00"/>
    <n v="39"/>
    <x v="1"/>
    <x v="1"/>
    <s v="🚺"/>
    <n v="2"/>
    <x v="0"/>
    <x v="0"/>
    <s v="No aplica"/>
    <s v="Ropa de marca"/>
    <x v="1"/>
    <x v="1"/>
    <s v="Abierto"/>
    <s v="92"/>
  </r>
  <r>
    <n v="201"/>
    <x v="780"/>
    <x v="780"/>
    <x v="780"/>
    <x v="0"/>
    <x v="635"/>
    <x v="8"/>
    <x v="9"/>
    <s v="-31,4076397196409, -64,2020170430678"/>
    <d v="1965-01-22T00:00:00"/>
    <n v="58"/>
    <x v="5"/>
    <x v="1"/>
    <s v="🚹"/>
    <x v="3"/>
    <d v="1965-02-09T00:00:00"/>
    <n v="58"/>
    <x v="2"/>
    <x v="0"/>
    <s v="🚹"/>
    <n v="1"/>
    <x v="1"/>
    <x v="0"/>
    <s v="No aplica"/>
    <s v="No aplica"/>
    <x v="1"/>
    <x v="0"/>
    <s v="En investigación"/>
    <s v="No aplica"/>
  </r>
  <r>
    <n v="869"/>
    <x v="781"/>
    <x v="781"/>
    <x v="781"/>
    <x v="6"/>
    <x v="636"/>
    <x v="8"/>
    <x v="5"/>
    <s v="-31,3477902896523, -64,2644406169297"/>
    <d v="1995-05-01T00:00:00"/>
    <n v="21"/>
    <x v="1"/>
    <x v="1"/>
    <s v="🚹"/>
    <x v="4"/>
    <d v="2012-12-25T00:00:00"/>
    <n v="3"/>
    <x v="5"/>
    <x v="0"/>
    <s v="🚹"/>
    <n v="1"/>
    <x v="0"/>
    <x v="0"/>
    <s v="No aplica"/>
    <s v="Pasta base"/>
    <x v="1"/>
    <x v="1"/>
    <s v="Cerrado"/>
    <s v="225"/>
  </r>
  <r>
    <n v="870"/>
    <x v="782"/>
    <x v="782"/>
    <x v="782"/>
    <x v="5"/>
    <x v="119"/>
    <x v="5"/>
    <x v="6"/>
    <s v="-31,3909520937826, -64,1836424491715"/>
    <d v="1988-11-01T00:00:00"/>
    <n v="31"/>
    <x v="3"/>
    <x v="1"/>
    <s v="🚹"/>
    <x v="3"/>
    <d v="1991-01-17T00:00:00"/>
    <n v="29"/>
    <x v="6"/>
    <x v="0"/>
    <s v="🚹"/>
    <n v="1"/>
    <x v="0"/>
    <x v="0"/>
    <s v="No aplica"/>
    <s v="Celular"/>
    <x v="0"/>
    <x v="1"/>
    <s v="Abierto"/>
    <s v="60"/>
  </r>
  <r>
    <n v="871"/>
    <x v="783"/>
    <x v="783"/>
    <x v="783"/>
    <x v="0"/>
    <x v="634"/>
    <x v="5"/>
    <x v="10"/>
    <s v="-31,4285567311661, -64,1853198281007"/>
    <d v="1973-08-07T00:00:00"/>
    <n v="44"/>
    <x v="6"/>
    <x v="0"/>
    <s v="🚺"/>
    <x v="4"/>
    <d v="1965-09-20T00:00:00"/>
    <n v="52"/>
    <x v="4"/>
    <x v="1"/>
    <s v="🚺"/>
    <n v="2"/>
    <x v="0"/>
    <x v="0"/>
    <s v="No aplica"/>
    <s v="Bicicleta"/>
    <x v="0"/>
    <x v="0"/>
    <s v="En investigación"/>
    <s v="66"/>
  </r>
  <r>
    <n v="719"/>
    <x v="784"/>
    <x v="784"/>
    <x v="784"/>
    <x v="3"/>
    <x v="637"/>
    <x v="0"/>
    <x v="4"/>
    <s v="-31,3759272890294, -64,2284587792478"/>
    <d v="1985-07-05T00:00:00"/>
    <n v="38"/>
    <x v="6"/>
    <x v="0"/>
    <s v="🚺"/>
    <x v="4"/>
    <d v="1953-02-15T00:00:00"/>
    <n v="70"/>
    <x v="0"/>
    <x v="1"/>
    <s v="🚺"/>
    <n v="1"/>
    <x v="1"/>
    <x v="0"/>
    <s v="No aplica"/>
    <s v="No aplica"/>
    <x v="0"/>
    <x v="0"/>
    <s v="Abierto"/>
    <s v="No aplica"/>
  </r>
  <r>
    <n v="875"/>
    <x v="785"/>
    <x v="785"/>
    <x v="785"/>
    <x v="0"/>
    <x v="34"/>
    <x v="9"/>
    <x v="2"/>
    <s v="-31,334500143441, -64,2460773260564"/>
    <d v="1985-10-18T00:00:00"/>
    <n v="32"/>
    <x v="3"/>
    <x v="1"/>
    <s v="🚹"/>
    <x v="2"/>
    <d v="1954-11-15T00:00:00"/>
    <n v="63"/>
    <x v="2"/>
    <x v="1"/>
    <s v="🚺"/>
    <n v="3"/>
    <x v="0"/>
    <x v="3"/>
    <s v="Sin agravantes"/>
    <s v="No aplica"/>
    <x v="0"/>
    <x v="0"/>
    <s v="Cerrado"/>
    <s v="71"/>
  </r>
  <r>
    <n v="949"/>
    <x v="786"/>
    <x v="786"/>
    <x v="786"/>
    <x v="2"/>
    <x v="446"/>
    <x v="5"/>
    <x v="0"/>
    <s v="-31,4800162965848, -64,2094200976892"/>
    <d v="1997-08-21T00:00:00"/>
    <n v="26"/>
    <x v="3"/>
    <x v="0"/>
    <s v="🚺"/>
    <x v="1"/>
    <d v="1993-09-28T00:00:00"/>
    <n v="30"/>
    <x v="6"/>
    <x v="1"/>
    <s v="🚺"/>
    <n v="1"/>
    <x v="1"/>
    <x v="0"/>
    <s v="No aplica"/>
    <s v="Bicicleta"/>
    <x v="1"/>
    <x v="0"/>
    <s v="Abierto"/>
    <s v="No aplica"/>
  </r>
  <r>
    <n v="692"/>
    <x v="787"/>
    <x v="787"/>
    <x v="787"/>
    <x v="1"/>
    <x v="267"/>
    <x v="2"/>
    <x v="0"/>
    <s v="-31,4800162965848, -64,2094200976892"/>
    <d v="1997-08-27T00:00:00"/>
    <n v="26"/>
    <x v="3"/>
    <x v="1"/>
    <s v="🚹"/>
    <x v="4"/>
    <d v="1953-03-14T00:00:00"/>
    <n v="70"/>
    <x v="0"/>
    <x v="0"/>
    <s v="🚹"/>
    <n v="1"/>
    <x v="1"/>
    <x v="0"/>
    <s v="No aplica"/>
    <s v="Celular"/>
    <x v="1"/>
    <x v="1"/>
    <s v="En investigación"/>
    <s v="No aplica"/>
  </r>
  <r>
    <n v="876"/>
    <x v="788"/>
    <x v="788"/>
    <x v="788"/>
    <x v="6"/>
    <x v="308"/>
    <x v="1"/>
    <x v="11"/>
    <s v="-31,4506257494184, -64,1733054344705"/>
    <d v="2006-06-04T00:00:00"/>
    <n v="17"/>
    <x v="2"/>
    <x v="1"/>
    <s v="🚹"/>
    <x v="4"/>
    <d v="1980-12-03T00:00:00"/>
    <n v="42"/>
    <x v="1"/>
    <x v="0"/>
    <s v="🚹"/>
    <n v="3"/>
    <x v="0"/>
    <x v="0"/>
    <s v="No aplica"/>
    <s v="Vidrios de comercio rotos"/>
    <x v="0"/>
    <x v="1"/>
    <s v="Cerrado"/>
    <s v="24"/>
  </r>
  <r>
    <n v="633"/>
    <x v="789"/>
    <x v="789"/>
    <x v="789"/>
    <x v="3"/>
    <x v="638"/>
    <x v="0"/>
    <x v="1"/>
    <s v="-31,4129883640337, -64,1681120522587"/>
    <d v="1955-08-12T00:00:00"/>
    <n v="68"/>
    <x v="4"/>
    <x v="1"/>
    <s v="🚹"/>
    <x v="2"/>
    <d v="2006-09-10T00:00:00"/>
    <n v="17"/>
    <x v="5"/>
    <x v="0"/>
    <s v="🚹"/>
    <n v="1"/>
    <x v="1"/>
    <x v="0"/>
    <s v="No aplica"/>
    <s v="No aplica"/>
    <x v="1"/>
    <x v="0"/>
    <s v="Cerrado"/>
    <s v="No aplica"/>
  </r>
  <r>
    <n v="881"/>
    <x v="790"/>
    <x v="790"/>
    <x v="790"/>
    <x v="5"/>
    <x v="196"/>
    <x v="0"/>
    <x v="2"/>
    <s v="-31,334500143441, -64,2460773260564"/>
    <d v="1956-04-06T00:00:00"/>
    <n v="64"/>
    <x v="5"/>
    <x v="1"/>
    <s v="🚹"/>
    <x v="4"/>
    <d v="1951-09-08T00:00:00"/>
    <n v="68"/>
    <x v="0"/>
    <x v="1"/>
    <s v="🚺"/>
    <n v="1"/>
    <x v="0"/>
    <x v="2"/>
    <s v="No aplica"/>
    <s v="Laptop marca HP"/>
    <x v="1"/>
    <x v="1"/>
    <s v="Cerrado"/>
    <s v="105"/>
  </r>
  <r>
    <n v="885"/>
    <x v="364"/>
    <x v="364"/>
    <x v="364"/>
    <x v="0"/>
    <x v="389"/>
    <x v="10"/>
    <x v="7"/>
    <s v="-31,4015892433235, -64,160442876477"/>
    <d v="1979-07-15T00:00:00"/>
    <n v="39"/>
    <x v="6"/>
    <x v="1"/>
    <s v="🚹"/>
    <x v="0"/>
    <d v="1976-02-15T00:00:00"/>
    <n v="42"/>
    <x v="1"/>
    <x v="1"/>
    <s v="🚺"/>
    <n v="3"/>
    <x v="0"/>
    <x v="0"/>
    <s v="No aplica"/>
    <s v="Cuentas falsas"/>
    <x v="1"/>
    <x v="1"/>
    <s v="Cerrado"/>
    <s v="38"/>
  </r>
  <r>
    <n v="708"/>
    <x v="791"/>
    <x v="791"/>
    <x v="791"/>
    <x v="6"/>
    <x v="125"/>
    <x v="8"/>
    <x v="2"/>
    <s v="-31,334500143441, -64,2460773260564"/>
    <d v="1962-10-14T00:00:00"/>
    <n v="61"/>
    <x v="5"/>
    <x v="0"/>
    <s v="🚺"/>
    <x v="0"/>
    <d v="1971-10-18T00:00:00"/>
    <n v="52"/>
    <x v="4"/>
    <x v="1"/>
    <s v="🚺"/>
    <n v="2"/>
    <x v="1"/>
    <x v="0"/>
    <s v="No aplica"/>
    <s v="Cartera con documentación"/>
    <x v="0"/>
    <x v="0"/>
    <s v="Cerrado"/>
    <s v="No aplica"/>
  </r>
  <r>
    <n v="500"/>
    <x v="792"/>
    <x v="792"/>
    <x v="792"/>
    <x v="3"/>
    <x v="624"/>
    <x v="4"/>
    <x v="8"/>
    <s v="-31,423018915313, -64,1493562190664"/>
    <d v="1955-08-08T00:00:00"/>
    <n v="68"/>
    <x v="4"/>
    <x v="0"/>
    <s v="🚺"/>
    <x v="1"/>
    <d v="1952-12-22T00:00:00"/>
    <n v="71"/>
    <x v="0"/>
    <x v="1"/>
    <s v="🚺"/>
    <n v="1"/>
    <x v="1"/>
    <x v="0"/>
    <s v="No aplica"/>
    <s v="Estafa bancaria"/>
    <x v="0"/>
    <x v="1"/>
    <s v="En investigación"/>
    <s v="No aplica"/>
  </r>
  <r>
    <n v="887"/>
    <x v="793"/>
    <x v="793"/>
    <x v="793"/>
    <x v="6"/>
    <x v="99"/>
    <x v="9"/>
    <x v="1"/>
    <s v="-31,4129883640337, -64,1681120522587"/>
    <d v="2001-06-12T00:00:00"/>
    <n v="14"/>
    <x v="2"/>
    <x v="1"/>
    <s v="🚹"/>
    <x v="4"/>
    <d v="1995-12-09T00:00:00"/>
    <n v="19"/>
    <x v="3"/>
    <x v="0"/>
    <s v="🚹"/>
    <n v="2"/>
    <x v="0"/>
    <x v="0"/>
    <s v="No aplica"/>
    <s v="5kg de cocaína"/>
    <x v="1"/>
    <x v="0"/>
    <s v="Cerrado"/>
    <s v="219"/>
  </r>
  <r>
    <n v="888"/>
    <x v="794"/>
    <x v="794"/>
    <x v="794"/>
    <x v="3"/>
    <x v="323"/>
    <x v="2"/>
    <x v="9"/>
    <s v="-31,4076397196409, -64,2020170430678"/>
    <d v="1993-07-06T00:00:00"/>
    <n v="25"/>
    <x v="1"/>
    <x v="0"/>
    <s v="🚺"/>
    <x v="1"/>
    <d v="1947-09-15T00:00:00"/>
    <n v="71"/>
    <x v="0"/>
    <x v="0"/>
    <s v="🚹"/>
    <n v="2"/>
    <x v="0"/>
    <x v="0"/>
    <s v="No aplica"/>
    <s v="Estafa bancaria"/>
    <x v="1"/>
    <x v="1"/>
    <s v="Abierto"/>
    <s v="72"/>
  </r>
  <r>
    <n v="582"/>
    <x v="338"/>
    <x v="338"/>
    <x v="338"/>
    <x v="0"/>
    <x v="639"/>
    <x v="8"/>
    <x v="8"/>
    <s v="-31,423018915313, -64,1493562190664"/>
    <d v="1951-12-26T00:00:00"/>
    <n v="72"/>
    <x v="4"/>
    <x v="1"/>
    <s v="🚹"/>
    <x v="0"/>
    <d v="1991-02-22T00:00:00"/>
    <n v="32"/>
    <x v="6"/>
    <x v="0"/>
    <s v="🚹"/>
    <n v="3"/>
    <x v="1"/>
    <x v="2"/>
    <s v="No aplica"/>
    <s v="Celular, tarjetas bancarias"/>
    <x v="1"/>
    <x v="0"/>
    <s v="Abierto"/>
    <s v="No aplica"/>
  </r>
  <r>
    <n v="889"/>
    <x v="795"/>
    <x v="795"/>
    <x v="795"/>
    <x v="0"/>
    <x v="422"/>
    <x v="1"/>
    <x v="7"/>
    <s v="-31,4015892433235, -64,160442876477"/>
    <d v="1963-02-19T00:00:00"/>
    <n v="61"/>
    <x v="5"/>
    <x v="1"/>
    <s v="🚹"/>
    <x v="3"/>
    <d v="1945-03-10T00:00:00"/>
    <n v="79"/>
    <x v="0"/>
    <x v="1"/>
    <s v="🚺"/>
    <n v="3"/>
    <x v="0"/>
    <x v="2"/>
    <s v="Con ensañamiento"/>
    <s v="No aplica"/>
    <x v="1"/>
    <x v="0"/>
    <s v="Abierto"/>
    <s v="178"/>
  </r>
  <r>
    <n v="893"/>
    <x v="774"/>
    <x v="774"/>
    <x v="774"/>
    <x v="1"/>
    <x v="188"/>
    <x v="7"/>
    <x v="0"/>
    <s v="-31,4800162965848, -64,2094200976892"/>
    <d v="1996-05-17T00:00:00"/>
    <n v="27"/>
    <x v="3"/>
    <x v="0"/>
    <s v="🚺"/>
    <x v="2"/>
    <d v="1967-02-24T00:00:00"/>
    <n v="57"/>
    <x v="2"/>
    <x v="0"/>
    <s v="🚹"/>
    <n v="3"/>
    <x v="0"/>
    <x v="3"/>
    <s v="No aplica"/>
    <s v="Laptop marca HP"/>
    <x v="0"/>
    <x v="1"/>
    <s v="Abierto"/>
    <s v="143"/>
  </r>
  <r>
    <n v="505"/>
    <x v="796"/>
    <x v="796"/>
    <x v="796"/>
    <x v="4"/>
    <x v="150"/>
    <x v="8"/>
    <x v="10"/>
    <s v="-31,4285567311661, -64,1853198281007"/>
    <d v="1960-02-24T00:00:00"/>
    <n v="63"/>
    <x v="5"/>
    <x v="1"/>
    <s v="🚹"/>
    <x v="3"/>
    <d v="1985-06-12T00:00:00"/>
    <n v="38"/>
    <x v="1"/>
    <x v="1"/>
    <s v="🚺"/>
    <n v="1"/>
    <x v="1"/>
    <x v="0"/>
    <s v="No aplica"/>
    <s v="Estafa bancaria"/>
    <x v="1"/>
    <x v="0"/>
    <s v="En investigación"/>
    <s v="No aplica"/>
  </r>
  <r>
    <n v="329"/>
    <x v="797"/>
    <x v="797"/>
    <x v="797"/>
    <x v="5"/>
    <x v="493"/>
    <x v="5"/>
    <x v="4"/>
    <s v="-31,3759272890294, -64,2284587792478"/>
    <d v="1950-11-26T00:00:00"/>
    <n v="73"/>
    <x v="4"/>
    <x v="1"/>
    <s v="🚹"/>
    <x v="4"/>
    <d v="1985-04-08T00:00:00"/>
    <n v="38"/>
    <x v="1"/>
    <x v="0"/>
    <s v="🚹"/>
    <n v="2"/>
    <x v="1"/>
    <x v="0"/>
    <s v="Alevosía"/>
    <s v="No aplica"/>
    <x v="1"/>
    <x v="1"/>
    <s v="Abierto"/>
    <s v="No aplica"/>
  </r>
  <r>
    <n v="894"/>
    <x v="798"/>
    <x v="798"/>
    <x v="798"/>
    <x v="1"/>
    <x v="24"/>
    <x v="8"/>
    <x v="5"/>
    <s v="-31,3477902896523, -64,2644406169297"/>
    <d v="1964-01-09T00:00:00"/>
    <n v="57"/>
    <x v="5"/>
    <x v="1"/>
    <s v="🚹"/>
    <x v="4"/>
    <d v="1991-04-11T00:00:00"/>
    <n v="30"/>
    <x v="6"/>
    <x v="0"/>
    <s v="🚹"/>
    <n v="1"/>
    <x v="0"/>
    <x v="0"/>
    <s v="No aplica"/>
    <s v="Contrato fraudulento"/>
    <x v="0"/>
    <x v="0"/>
    <s v="En investigación"/>
    <s v="213"/>
  </r>
  <r>
    <n v="897"/>
    <x v="799"/>
    <x v="799"/>
    <x v="799"/>
    <x v="2"/>
    <x v="618"/>
    <x v="1"/>
    <x v="1"/>
    <s v="-31,4129883640337, -64,1681120522587"/>
    <d v="2005-12-21T00:00:00"/>
    <n v="13"/>
    <x v="2"/>
    <x v="1"/>
    <s v="🚹"/>
    <x v="2"/>
    <d v="1942-02-27T00:00:00"/>
    <n v="77"/>
    <x v="0"/>
    <x v="0"/>
    <s v="🚹"/>
    <n v="1"/>
    <x v="0"/>
    <x v="0"/>
    <s v="Por vínculo"/>
    <s v="No aplica"/>
    <x v="1"/>
    <x v="0"/>
    <s v="Abierto"/>
    <s v="160"/>
  </r>
  <r>
    <n v="898"/>
    <x v="800"/>
    <x v="800"/>
    <x v="800"/>
    <x v="1"/>
    <x v="282"/>
    <x v="3"/>
    <x v="8"/>
    <s v="-31,423018915313, -64,1493562190664"/>
    <d v="1964-06-27T00:00:00"/>
    <n v="59"/>
    <x v="5"/>
    <x v="1"/>
    <s v="🚹"/>
    <x v="2"/>
    <d v="2012-09-06T00:00:00"/>
    <n v="11"/>
    <x v="5"/>
    <x v="1"/>
    <s v="🚺"/>
    <n v="3"/>
    <x v="0"/>
    <x v="4"/>
    <s v="No aplica"/>
    <s v="Auto modelo XXX, patente XXX XXX"/>
    <x v="1"/>
    <x v="0"/>
    <s v="Abierto"/>
    <s v="17"/>
  </r>
  <r>
    <n v="177"/>
    <x v="801"/>
    <x v="801"/>
    <x v="801"/>
    <x v="0"/>
    <x v="640"/>
    <x v="0"/>
    <x v="7"/>
    <s v="-31,4015892433235, -64,160442876477"/>
    <d v="1954-04-17T00:00:00"/>
    <n v="69"/>
    <x v="4"/>
    <x v="0"/>
    <s v="🚺"/>
    <x v="1"/>
    <d v="2012-02-18T00:00:00"/>
    <n v="11"/>
    <x v="5"/>
    <x v="0"/>
    <s v="🚹"/>
    <n v="1"/>
    <x v="1"/>
    <x v="0"/>
    <s v="No aplica"/>
    <s v="Cartera con documentación"/>
    <x v="1"/>
    <x v="0"/>
    <s v="Cerrado"/>
    <s v="No aplica"/>
  </r>
  <r>
    <n v="899"/>
    <x v="802"/>
    <x v="802"/>
    <x v="802"/>
    <x v="2"/>
    <x v="350"/>
    <x v="8"/>
    <x v="8"/>
    <s v="-31,423018915313, -64,1493562190664"/>
    <d v="1988-04-10T00:00:00"/>
    <n v="32"/>
    <x v="3"/>
    <x v="0"/>
    <s v="🚺"/>
    <x v="3"/>
    <d v="2008-04-18T00:00:00"/>
    <n v="12"/>
    <x v="5"/>
    <x v="0"/>
    <s v="🚹"/>
    <n v="3"/>
    <x v="0"/>
    <x v="1"/>
    <s v="No aplica"/>
    <s v="Auto modelo XXX, patente XXX XXX"/>
    <x v="0"/>
    <x v="1"/>
    <s v="Cerrado"/>
    <s v="230"/>
  </r>
  <r>
    <n v="239"/>
    <x v="803"/>
    <x v="803"/>
    <x v="803"/>
    <x v="2"/>
    <x v="130"/>
    <x v="6"/>
    <x v="9"/>
    <s v="-31,4076397196409, -64,2020170430678"/>
    <d v="1979-04-18T00:00:00"/>
    <n v="44"/>
    <x v="6"/>
    <x v="1"/>
    <s v="🚹"/>
    <x v="2"/>
    <d v="1956-05-27T00:00:00"/>
    <n v="67"/>
    <x v="0"/>
    <x v="1"/>
    <s v="🚺"/>
    <n v="3"/>
    <x v="1"/>
    <x v="2"/>
    <s v="No aplica"/>
    <s v="Auto modelo XXX, patente XXX XXX"/>
    <x v="0"/>
    <x v="0"/>
    <s v="En investigación"/>
    <s v="No aplica"/>
  </r>
  <r>
    <n v="792"/>
    <x v="804"/>
    <x v="804"/>
    <x v="804"/>
    <x v="2"/>
    <x v="641"/>
    <x v="6"/>
    <x v="9"/>
    <s v="-31,4076397196409, -64,2020170430678"/>
    <d v="1993-07-17T00:00:00"/>
    <n v="30"/>
    <x v="3"/>
    <x v="0"/>
    <s v="🚺"/>
    <x v="1"/>
    <d v="1982-04-19T00:00:00"/>
    <n v="41"/>
    <x v="1"/>
    <x v="0"/>
    <s v="🚹"/>
    <n v="1"/>
    <x v="1"/>
    <x v="0"/>
    <s v="No aplica"/>
    <s v="Lavado de dinero"/>
    <x v="0"/>
    <x v="0"/>
    <s v="Cerrado"/>
    <s v="No aplica"/>
  </r>
  <r>
    <n v="901"/>
    <x v="805"/>
    <x v="805"/>
    <x v="805"/>
    <x v="2"/>
    <x v="642"/>
    <x v="6"/>
    <x v="3"/>
    <s v="-31,4148488101991, -64,1793406489438"/>
    <d v="1979-07-25T00:00:00"/>
    <n v="40"/>
    <x v="6"/>
    <x v="1"/>
    <s v="🚹"/>
    <x v="1"/>
    <d v="2013-07-14T00:00:00"/>
    <n v="6"/>
    <x v="5"/>
    <x v="0"/>
    <s v="🚹"/>
    <n v="2"/>
    <x v="0"/>
    <x v="0"/>
    <s v="No aplica"/>
    <s v="Dinero público desviado"/>
    <x v="1"/>
    <x v="1"/>
    <s v="Abierto"/>
    <s v="288"/>
  </r>
  <r>
    <n v="904"/>
    <x v="806"/>
    <x v="806"/>
    <x v="806"/>
    <x v="5"/>
    <x v="643"/>
    <x v="5"/>
    <x v="6"/>
    <s v="-31,3909520937826, -64,1836424491715"/>
    <d v="1961-06-04T00:00:00"/>
    <n v="55"/>
    <x v="0"/>
    <x v="0"/>
    <s v="🚺"/>
    <x v="2"/>
    <d v="2005-06-06T00:00:00"/>
    <n v="11"/>
    <x v="5"/>
    <x v="1"/>
    <s v="🚺"/>
    <n v="3"/>
    <x v="0"/>
    <x v="0"/>
    <s v="No aplica"/>
    <s v="Evasión fiscal"/>
    <x v="1"/>
    <x v="1"/>
    <s v="En investigación"/>
    <s v="206"/>
  </r>
  <r>
    <n v="905"/>
    <x v="807"/>
    <x v="807"/>
    <x v="807"/>
    <x v="3"/>
    <x v="644"/>
    <x v="0"/>
    <x v="2"/>
    <s v="-31,334500143441, -64,2460773260564"/>
    <d v="1956-06-02T00:00:00"/>
    <n v="63"/>
    <x v="5"/>
    <x v="1"/>
    <s v="🚹"/>
    <x v="4"/>
    <d v="1960-10-02T00:00:00"/>
    <n v="58"/>
    <x v="2"/>
    <x v="0"/>
    <s v="🚹"/>
    <n v="3"/>
    <x v="0"/>
    <x v="0"/>
    <s v="No aplica"/>
    <s v="Dinero público desviado"/>
    <x v="0"/>
    <x v="1"/>
    <s v="En investigación"/>
    <s v="8"/>
  </r>
  <r>
    <n v="906"/>
    <x v="808"/>
    <x v="808"/>
    <x v="808"/>
    <x v="5"/>
    <x v="645"/>
    <x v="6"/>
    <x v="8"/>
    <s v="-31,423018915313, -64,1493562190664"/>
    <d v="1965-09-19T00:00:00"/>
    <n v="57"/>
    <x v="5"/>
    <x v="1"/>
    <s v="🚹"/>
    <x v="2"/>
    <d v="1980-03-03T00:00:00"/>
    <n v="42"/>
    <x v="1"/>
    <x v="0"/>
    <s v="🚹"/>
    <n v="1"/>
    <x v="0"/>
    <x v="0"/>
    <s v="No aplica"/>
    <s v="No aplica"/>
    <x v="1"/>
    <x v="0"/>
    <s v="Abierto"/>
    <s v="193"/>
  </r>
  <r>
    <n v="907"/>
    <x v="809"/>
    <x v="809"/>
    <x v="809"/>
    <x v="5"/>
    <x v="358"/>
    <x v="2"/>
    <x v="5"/>
    <s v="-31,3477902896523, -64,2644406169297"/>
    <d v="1951-08-04T00:00:00"/>
    <n v="65"/>
    <x v="4"/>
    <x v="0"/>
    <s v="🚺"/>
    <x v="3"/>
    <d v="1986-07-22T00:00:00"/>
    <n v="30"/>
    <x v="6"/>
    <x v="0"/>
    <s v="🚹"/>
    <n v="1"/>
    <x v="0"/>
    <x v="0"/>
    <s v="No aplica"/>
    <s v="Cuentas falsas"/>
    <x v="0"/>
    <x v="0"/>
    <s v="Cerrado"/>
    <s v="293"/>
  </r>
  <r>
    <n v="903"/>
    <x v="810"/>
    <x v="810"/>
    <x v="810"/>
    <x v="3"/>
    <x v="646"/>
    <x v="8"/>
    <x v="2"/>
    <s v="-31,334500143441, -64,2460773260564"/>
    <d v="1983-10-23T00:00:00"/>
    <n v="40"/>
    <x v="6"/>
    <x v="1"/>
    <s v="🚹"/>
    <x v="2"/>
    <d v="1990-10-26T00:00:00"/>
    <n v="33"/>
    <x v="6"/>
    <x v="0"/>
    <s v="🚹"/>
    <n v="3"/>
    <x v="1"/>
    <x v="0"/>
    <s v="No aplica"/>
    <s v="Pasta base"/>
    <x v="1"/>
    <x v="1"/>
    <s v="Abierto"/>
    <s v="No aplica"/>
  </r>
  <r>
    <n v="909"/>
    <x v="811"/>
    <x v="811"/>
    <x v="811"/>
    <x v="3"/>
    <x v="331"/>
    <x v="7"/>
    <x v="10"/>
    <s v="-31,4285567311661, -64,1853198281007"/>
    <d v="1993-07-28T00:00:00"/>
    <n v="28"/>
    <x v="3"/>
    <x v="1"/>
    <s v="🚹"/>
    <x v="2"/>
    <d v="1974-10-09T00:00:00"/>
    <n v="47"/>
    <x v="4"/>
    <x v="1"/>
    <s v="🚺"/>
    <n v="1"/>
    <x v="0"/>
    <x v="0"/>
    <s v="No aplica"/>
    <s v="Dinero público desviado"/>
    <x v="1"/>
    <x v="1"/>
    <s v="Cerrado"/>
    <s v="164"/>
  </r>
  <r>
    <n v="164"/>
    <x v="812"/>
    <x v="812"/>
    <x v="812"/>
    <x v="1"/>
    <x v="586"/>
    <x v="9"/>
    <x v="8"/>
    <s v="-31,423018915313, -64,1493562190664"/>
    <d v="1989-09-11T00:00:00"/>
    <n v="34"/>
    <x v="3"/>
    <x v="0"/>
    <s v="🚺"/>
    <x v="2"/>
    <d v="1958-10-05T00:00:00"/>
    <n v="65"/>
    <x v="0"/>
    <x v="0"/>
    <s v="🚹"/>
    <n v="2"/>
    <x v="1"/>
    <x v="0"/>
    <s v="No aplica"/>
    <s v="Lavado de dinero"/>
    <x v="1"/>
    <x v="1"/>
    <s v="Abierto"/>
    <s v="No aplica"/>
  </r>
  <r>
    <n v="896"/>
    <x v="813"/>
    <x v="813"/>
    <x v="813"/>
    <x v="5"/>
    <x v="647"/>
    <x v="1"/>
    <x v="6"/>
    <s v="-31,3909520937826, -64,1836424491715"/>
    <d v="1950-07-01T00:00:00"/>
    <n v="73"/>
    <x v="4"/>
    <x v="0"/>
    <s v="🚺"/>
    <x v="4"/>
    <d v="2002-11-03T00:00:00"/>
    <n v="21"/>
    <x v="3"/>
    <x v="1"/>
    <s v="🚺"/>
    <n v="3"/>
    <x v="1"/>
    <x v="0"/>
    <s v="No aplica"/>
    <s v="Cuentas falsas"/>
    <x v="0"/>
    <x v="0"/>
    <s v="Cerrado"/>
    <s v="No aplica"/>
  </r>
  <r>
    <n v="912"/>
    <x v="814"/>
    <x v="814"/>
    <x v="814"/>
    <x v="1"/>
    <x v="648"/>
    <x v="9"/>
    <x v="3"/>
    <s v="-31,4148488101991, -64,1793406489438"/>
    <d v="1966-02-19T00:00:00"/>
    <n v="54"/>
    <x v="0"/>
    <x v="1"/>
    <s v="🚹"/>
    <x v="2"/>
    <d v="2001-06-26T00:00:00"/>
    <n v="19"/>
    <x v="3"/>
    <x v="1"/>
    <s v="🚺"/>
    <n v="1"/>
    <x v="0"/>
    <x v="0"/>
    <s v="No aplica"/>
    <s v="Vidrios de comercio rotos"/>
    <x v="1"/>
    <x v="1"/>
    <s v="Cerrado"/>
    <s v="122"/>
  </r>
  <r>
    <n v="444"/>
    <x v="815"/>
    <x v="815"/>
    <x v="815"/>
    <x v="0"/>
    <x v="649"/>
    <x v="4"/>
    <x v="9"/>
    <s v="-31,4076397196409, -64,2020170430678"/>
    <d v="1954-05-25T00:00:00"/>
    <n v="69"/>
    <x v="4"/>
    <x v="0"/>
    <s v="🚺"/>
    <x v="2"/>
    <d v="1963-06-08T00:00:00"/>
    <n v="60"/>
    <x v="2"/>
    <x v="1"/>
    <s v="🚺"/>
    <n v="2"/>
    <x v="1"/>
    <x v="0"/>
    <s v="No aplica"/>
    <s v="Plantas de marihuana"/>
    <x v="1"/>
    <x v="0"/>
    <s v="Cerrado"/>
    <s v="No aplica"/>
  </r>
  <r>
    <n v="914"/>
    <x v="816"/>
    <x v="816"/>
    <x v="816"/>
    <x v="1"/>
    <x v="650"/>
    <x v="3"/>
    <x v="4"/>
    <s v="-31,3759272890294, -64,2284587792478"/>
    <d v="1950-08-27T00:00:00"/>
    <n v="69"/>
    <x v="4"/>
    <x v="0"/>
    <s v="🚺"/>
    <x v="4"/>
    <d v="1954-10-16T00:00:00"/>
    <n v="65"/>
    <x v="0"/>
    <x v="0"/>
    <s v="🚹"/>
    <n v="1"/>
    <x v="0"/>
    <x v="0"/>
    <s v="No aplica"/>
    <s v="Dinero público desviado"/>
    <x v="1"/>
    <x v="0"/>
    <s v="Cerrado"/>
    <s v="126"/>
  </r>
  <r>
    <n v="447"/>
    <x v="817"/>
    <x v="817"/>
    <x v="817"/>
    <x v="4"/>
    <x v="651"/>
    <x v="3"/>
    <x v="11"/>
    <s v="-31,4506257494184, -64,1733054344705"/>
    <d v="1954-07-03T00:00:00"/>
    <n v="69"/>
    <x v="4"/>
    <x v="1"/>
    <s v="🚹"/>
    <x v="4"/>
    <d v="1998-09-12T00:00:00"/>
    <n v="25"/>
    <x v="3"/>
    <x v="0"/>
    <s v="🚹"/>
    <n v="3"/>
    <x v="1"/>
    <x v="4"/>
    <s v="No aplica"/>
    <s v="Billetera con $15,000 ARG"/>
    <x v="0"/>
    <x v="1"/>
    <s v="Cerrado"/>
    <s v="No aplica"/>
  </r>
  <r>
    <n v="915"/>
    <x v="818"/>
    <x v="818"/>
    <x v="818"/>
    <x v="1"/>
    <x v="400"/>
    <x v="3"/>
    <x v="5"/>
    <s v="-31,3477902896523, -64,2644406169297"/>
    <d v="1996-08-17T00:00:00"/>
    <n v="27"/>
    <x v="3"/>
    <x v="0"/>
    <s v="🚺"/>
    <x v="3"/>
    <d v="1991-08-16T00:00:00"/>
    <n v="32"/>
    <x v="6"/>
    <x v="1"/>
    <s v="🚺"/>
    <n v="1"/>
    <x v="0"/>
    <x v="0"/>
    <s v="No aplica"/>
    <s v="Ropa de marca"/>
    <x v="1"/>
    <x v="0"/>
    <s v="En investigación"/>
    <s v="283"/>
  </r>
  <r>
    <n v="775"/>
    <x v="513"/>
    <x v="513"/>
    <x v="513"/>
    <x v="6"/>
    <x v="63"/>
    <x v="8"/>
    <x v="2"/>
    <s v="-31,334500143441, -64,2460773260564"/>
    <d v="1960-03-01T00:00:00"/>
    <n v="64"/>
    <x v="5"/>
    <x v="1"/>
    <s v="🚹"/>
    <x v="1"/>
    <d v="1995-02-07T00:00:00"/>
    <n v="29"/>
    <x v="6"/>
    <x v="1"/>
    <s v="🚺"/>
    <n v="2"/>
    <x v="1"/>
    <x v="0"/>
    <s v="No aplica"/>
    <s v="No aplica"/>
    <x v="1"/>
    <x v="0"/>
    <s v="En investigación"/>
    <s v="No aplica"/>
  </r>
  <r>
    <n v="749"/>
    <x v="819"/>
    <x v="819"/>
    <x v="819"/>
    <x v="2"/>
    <x v="652"/>
    <x v="11"/>
    <x v="2"/>
    <s v="-31,334500143441, -64,2460773260564"/>
    <d v="1967-12-19T00:00:00"/>
    <n v="56"/>
    <x v="5"/>
    <x v="0"/>
    <s v="🚺"/>
    <x v="0"/>
    <d v="1962-12-18T00:00:00"/>
    <n v="61"/>
    <x v="2"/>
    <x v="0"/>
    <s v="🚹"/>
    <n v="2"/>
    <x v="1"/>
    <x v="0"/>
    <s v="No aplica"/>
    <s v="Lavado de dinero"/>
    <x v="1"/>
    <x v="0"/>
    <s v="Abierto"/>
    <s v="No aplica"/>
  </r>
  <r>
    <n v="916"/>
    <x v="12"/>
    <x v="12"/>
    <x v="12"/>
    <x v="5"/>
    <x v="443"/>
    <x v="10"/>
    <x v="10"/>
    <s v="-31,4285567311661, -64,1853198281007"/>
    <d v="1960-11-28T00:00:00"/>
    <n v="56"/>
    <x v="5"/>
    <x v="0"/>
    <s v="🚺"/>
    <x v="3"/>
    <d v="1956-01-08T00:00:00"/>
    <n v="61"/>
    <x v="2"/>
    <x v="1"/>
    <s v="🚺"/>
    <n v="3"/>
    <x v="0"/>
    <x v="0"/>
    <s v="No aplica"/>
    <s v="Lavado de dinero"/>
    <x v="1"/>
    <x v="1"/>
    <s v="Cerrado"/>
    <s v="120"/>
  </r>
  <r>
    <n v="937"/>
    <x v="820"/>
    <x v="820"/>
    <x v="820"/>
    <x v="0"/>
    <x v="653"/>
    <x v="7"/>
    <x v="3"/>
    <s v="-31,4148488101991, -64,1793406489438"/>
    <d v="2006-07-27T00:00:00"/>
    <n v="17"/>
    <x v="2"/>
    <x v="1"/>
    <s v="🚹"/>
    <x v="4"/>
    <d v="1981-11-16T00:00:00"/>
    <n v="42"/>
    <x v="1"/>
    <x v="1"/>
    <s v="🚺"/>
    <n v="3"/>
    <x v="1"/>
    <x v="0"/>
    <s v="No aplica"/>
    <s v="Grafitis en edificios públicos"/>
    <x v="1"/>
    <x v="1"/>
    <s v="Abierto"/>
    <s v="No aplica"/>
  </r>
  <r>
    <n v="625"/>
    <x v="821"/>
    <x v="821"/>
    <x v="821"/>
    <x v="1"/>
    <x v="102"/>
    <x v="10"/>
    <x v="2"/>
    <s v="-31,334500143441, -64,2460773260564"/>
    <d v="1969-04-23T00:00:00"/>
    <n v="55"/>
    <x v="0"/>
    <x v="1"/>
    <s v="🚹"/>
    <x v="2"/>
    <d v="1963-08-02T00:00:00"/>
    <n v="60"/>
    <x v="2"/>
    <x v="1"/>
    <s v="🚺"/>
    <n v="1"/>
    <x v="1"/>
    <x v="0"/>
    <s v="Con ensañamiento"/>
    <s v="No aplica"/>
    <x v="0"/>
    <x v="1"/>
    <s v="En investigación"/>
    <s v="No aplica"/>
  </r>
  <r>
    <n v="918"/>
    <x v="822"/>
    <x v="822"/>
    <x v="822"/>
    <x v="5"/>
    <x v="333"/>
    <x v="10"/>
    <x v="4"/>
    <s v="-31,3759272890294, -64,2284587792478"/>
    <d v="1953-09-04T00:00:00"/>
    <n v="65"/>
    <x v="4"/>
    <x v="0"/>
    <s v="🚺"/>
    <x v="0"/>
    <d v="1972-12-12T00:00:00"/>
    <n v="46"/>
    <x v="4"/>
    <x v="1"/>
    <s v="🚺"/>
    <n v="1"/>
    <x v="0"/>
    <x v="0"/>
    <s v="No aplica"/>
    <s v="No aplica"/>
    <x v="1"/>
    <x v="1"/>
    <s v="Abierto"/>
    <s v="68"/>
  </r>
  <r>
    <n v="920"/>
    <x v="823"/>
    <x v="823"/>
    <x v="823"/>
    <x v="4"/>
    <x v="654"/>
    <x v="7"/>
    <x v="10"/>
    <s v="-31,4285567311661, -64,1853198281007"/>
    <d v="1996-02-13T00:00:00"/>
    <n v="24"/>
    <x v="1"/>
    <x v="1"/>
    <s v="🚹"/>
    <x v="4"/>
    <d v="2013-12-03T00:00:00"/>
    <n v="6"/>
    <x v="5"/>
    <x v="0"/>
    <s v="🚹"/>
    <n v="2"/>
    <x v="0"/>
    <x v="0"/>
    <s v="No aplica"/>
    <s v="Lavado de dinero"/>
    <x v="1"/>
    <x v="0"/>
    <s v="Cerrado"/>
    <s v="63"/>
  </r>
  <r>
    <n v="921"/>
    <x v="359"/>
    <x v="359"/>
    <x v="359"/>
    <x v="6"/>
    <x v="655"/>
    <x v="0"/>
    <x v="1"/>
    <s v="-31,4129883640337, -64,1681120522587"/>
    <d v="1959-06-01T00:00:00"/>
    <n v="59"/>
    <x v="5"/>
    <x v="0"/>
    <s v="🚺"/>
    <x v="3"/>
    <d v="1952-02-15T00:00:00"/>
    <n v="67"/>
    <x v="0"/>
    <x v="0"/>
    <s v="🚹"/>
    <n v="3"/>
    <x v="0"/>
    <x v="0"/>
    <s v="No aplica"/>
    <s v="Cartera con documentación"/>
    <x v="1"/>
    <x v="0"/>
    <s v="Abierto"/>
    <s v="70"/>
  </r>
  <r>
    <n v="922"/>
    <x v="824"/>
    <x v="824"/>
    <x v="824"/>
    <x v="1"/>
    <x v="92"/>
    <x v="7"/>
    <x v="0"/>
    <s v="-31,4800162965848, -64,2094200976892"/>
    <d v="1971-04-10T00:00:00"/>
    <n v="50"/>
    <x v="0"/>
    <x v="0"/>
    <s v="🚺"/>
    <x v="4"/>
    <d v="1999-11-03T00:00:00"/>
    <n v="21"/>
    <x v="3"/>
    <x v="0"/>
    <s v="🚹"/>
    <n v="3"/>
    <x v="0"/>
    <x v="0"/>
    <s v="No aplica"/>
    <s v="Vidrios de comercio rotos"/>
    <x v="1"/>
    <x v="0"/>
    <s v="Cerrado"/>
    <s v="9"/>
  </r>
  <r>
    <n v="925"/>
    <x v="212"/>
    <x v="212"/>
    <x v="212"/>
    <x v="1"/>
    <x v="286"/>
    <x v="7"/>
    <x v="10"/>
    <s v="-31,4285567311661, -64,1853198281007"/>
    <d v="1993-05-02T00:00:00"/>
    <n v="24"/>
    <x v="1"/>
    <x v="1"/>
    <s v="🚹"/>
    <x v="1"/>
    <d v="2009-06-07T00:00:00"/>
    <n v="8"/>
    <x v="5"/>
    <x v="0"/>
    <s v="🚹"/>
    <n v="3"/>
    <x v="0"/>
    <x v="2"/>
    <s v="Con ensañamiento"/>
    <s v="No aplica"/>
    <x v="0"/>
    <x v="1"/>
    <s v="Cerrado"/>
    <s v="252"/>
  </r>
  <r>
    <n v="926"/>
    <x v="825"/>
    <x v="825"/>
    <x v="825"/>
    <x v="6"/>
    <x v="656"/>
    <x v="2"/>
    <x v="11"/>
    <s v="-31,4506257494184, -64,1733054344705"/>
    <d v="1986-05-11T00:00:00"/>
    <n v="31"/>
    <x v="3"/>
    <x v="0"/>
    <s v="🚺"/>
    <x v="3"/>
    <d v="1956-10-17T00:00:00"/>
    <n v="61"/>
    <x v="2"/>
    <x v="0"/>
    <s v="🚹"/>
    <n v="3"/>
    <x v="0"/>
    <x v="0"/>
    <s v="No aplica"/>
    <s v="Celular"/>
    <x v="0"/>
    <x v="0"/>
    <s v="Cerrado"/>
    <s v="184"/>
  </r>
  <r>
    <n v="583"/>
    <x v="826"/>
    <x v="826"/>
    <x v="826"/>
    <x v="1"/>
    <x v="657"/>
    <x v="5"/>
    <x v="0"/>
    <s v="-31,4800162965848, -64,2094200976892"/>
    <d v="1994-09-04T00:00:00"/>
    <n v="29"/>
    <x v="3"/>
    <x v="0"/>
    <s v="🚺"/>
    <x v="3"/>
    <d v="1956-02-28T00:00:00"/>
    <n v="68"/>
    <x v="0"/>
    <x v="0"/>
    <s v="🚹"/>
    <n v="3"/>
    <x v="1"/>
    <x v="0"/>
    <s v="No aplica"/>
    <s v="5kg de cocaína"/>
    <x v="0"/>
    <x v="0"/>
    <s v="Cerrado"/>
    <s v="No aplica"/>
  </r>
  <r>
    <n v="928"/>
    <x v="827"/>
    <x v="827"/>
    <x v="827"/>
    <x v="4"/>
    <x v="561"/>
    <x v="7"/>
    <x v="2"/>
    <s v="-31,334500143441, -64,2460773260564"/>
    <d v="1991-08-06T00:00:00"/>
    <n v="33"/>
    <x v="3"/>
    <x v="1"/>
    <s v="🚹"/>
    <x v="2"/>
    <d v="1986-09-27T00:00:00"/>
    <n v="38"/>
    <x v="1"/>
    <x v="0"/>
    <s v="🚹"/>
    <n v="3"/>
    <x v="0"/>
    <x v="0"/>
    <s v="No aplica"/>
    <s v="Evasión fiscal"/>
    <x v="1"/>
    <x v="0"/>
    <s v="Cerrado"/>
    <s v="106"/>
  </r>
  <r>
    <n v="929"/>
    <x v="828"/>
    <x v="828"/>
    <x v="828"/>
    <x v="5"/>
    <x v="380"/>
    <x v="0"/>
    <x v="6"/>
    <s v="-31,3909520937826, -64,1836424491715"/>
    <d v="1979-06-22T00:00:00"/>
    <n v="42"/>
    <x v="6"/>
    <x v="1"/>
    <s v="🚹"/>
    <x v="2"/>
    <d v="2003-02-20T00:00:00"/>
    <n v="18"/>
    <x v="3"/>
    <x v="1"/>
    <s v="🚺"/>
    <n v="3"/>
    <x v="0"/>
    <x v="0"/>
    <s v="Sin agravantes"/>
    <s v="No aplica"/>
    <x v="1"/>
    <x v="0"/>
    <s v="Cerrado"/>
    <s v="185"/>
  </r>
  <r>
    <n v="932"/>
    <x v="829"/>
    <x v="829"/>
    <x v="829"/>
    <x v="1"/>
    <x v="658"/>
    <x v="6"/>
    <x v="2"/>
    <s v="-31,334500143441, -64,2460773260564"/>
    <d v="2005-02-11T00:00:00"/>
    <n v="18"/>
    <x v="1"/>
    <x v="0"/>
    <s v="🚺"/>
    <x v="4"/>
    <d v="1983-05-24T00:00:00"/>
    <n v="40"/>
    <x v="1"/>
    <x v="0"/>
    <s v="🚹"/>
    <n v="3"/>
    <x v="0"/>
    <x v="0"/>
    <s v="No aplica"/>
    <s v="Estafa bancaria"/>
    <x v="1"/>
    <x v="0"/>
    <s v="Abierto"/>
    <s v="252"/>
  </r>
  <r>
    <n v="933"/>
    <x v="830"/>
    <x v="830"/>
    <x v="830"/>
    <x v="1"/>
    <x v="659"/>
    <x v="5"/>
    <x v="4"/>
    <s v="-31,3759272890294, -64,2284587792478"/>
    <d v="2003-01-12T00:00:00"/>
    <n v="16"/>
    <x v="2"/>
    <x v="0"/>
    <s v="🚺"/>
    <x v="4"/>
    <d v="1949-06-13T00:00:00"/>
    <n v="70"/>
    <x v="0"/>
    <x v="1"/>
    <s v="🚺"/>
    <n v="2"/>
    <x v="0"/>
    <x v="0"/>
    <s v="Por vínculo"/>
    <s v="No aplica"/>
    <x v="1"/>
    <x v="1"/>
    <s v="Abierto"/>
    <s v="84"/>
  </r>
  <r>
    <n v="590"/>
    <x v="463"/>
    <x v="463"/>
    <x v="463"/>
    <x v="6"/>
    <x v="396"/>
    <x v="5"/>
    <x v="11"/>
    <s v="-31,4506257494184, -64,1733054344705"/>
    <d v="2006-10-20T00:00:00"/>
    <n v="17"/>
    <x v="2"/>
    <x v="1"/>
    <s v="🚹"/>
    <x v="1"/>
    <d v="2010-02-02T00:00:00"/>
    <n v="14"/>
    <x v="5"/>
    <x v="1"/>
    <s v="🚺"/>
    <n v="1"/>
    <x v="1"/>
    <x v="1"/>
    <s v="No aplica"/>
    <s v="Celular, tarjetas bancarias"/>
    <x v="0"/>
    <x v="1"/>
    <s v="Cerrado"/>
    <s v="No aplica"/>
  </r>
  <r>
    <n v="389"/>
    <x v="831"/>
    <x v="831"/>
    <x v="831"/>
    <x v="4"/>
    <x v="660"/>
    <x v="10"/>
    <x v="5"/>
    <s v="-31,3477902896523, -64,2644406169297"/>
    <d v="1964-06-13T00:00:00"/>
    <n v="59"/>
    <x v="5"/>
    <x v="0"/>
    <s v="🚺"/>
    <x v="0"/>
    <d v="1949-06-09T00:00:00"/>
    <n v="75"/>
    <x v="0"/>
    <x v="1"/>
    <s v="🚺"/>
    <n v="3"/>
    <x v="1"/>
    <x v="0"/>
    <s v="No aplica"/>
    <s v="Evasión fiscal"/>
    <x v="1"/>
    <x v="1"/>
    <s v="Abierto"/>
    <s v="No aplica"/>
  </r>
  <r>
    <n v="935"/>
    <x v="386"/>
    <x v="386"/>
    <x v="386"/>
    <x v="2"/>
    <x v="211"/>
    <x v="6"/>
    <x v="11"/>
    <s v="-31,4506257494184, -64,1733054344705"/>
    <d v="1971-11-23T00:00:00"/>
    <n v="47"/>
    <x v="0"/>
    <x v="0"/>
    <s v="🚺"/>
    <x v="0"/>
    <d v="1965-07-13T00:00:00"/>
    <n v="53"/>
    <x v="4"/>
    <x v="1"/>
    <s v="🚺"/>
    <n v="1"/>
    <x v="0"/>
    <x v="0"/>
    <s v="No aplica"/>
    <s v="No aplica"/>
    <x v="1"/>
    <x v="0"/>
    <s v="Cerrado"/>
    <s v="61"/>
  </r>
  <r>
    <n v="772"/>
    <x v="169"/>
    <x v="169"/>
    <x v="169"/>
    <x v="1"/>
    <x v="484"/>
    <x v="10"/>
    <x v="6"/>
    <s v="-31,3909520937826, -64,1836424491715"/>
    <d v="2001-06-04T00:00:00"/>
    <n v="23"/>
    <x v="1"/>
    <x v="1"/>
    <s v="🚹"/>
    <x v="4"/>
    <d v="1972-02-10T00:00:00"/>
    <n v="52"/>
    <x v="4"/>
    <x v="1"/>
    <s v="🚺"/>
    <n v="3"/>
    <x v="1"/>
    <x v="0"/>
    <s v="No aplica"/>
    <s v="Estafa bancaria"/>
    <x v="1"/>
    <x v="1"/>
    <s v="En investigación"/>
    <s v="No aplica"/>
  </r>
  <r>
    <n v="936"/>
    <x v="832"/>
    <x v="832"/>
    <x v="832"/>
    <x v="1"/>
    <x v="661"/>
    <x v="11"/>
    <x v="2"/>
    <s v="-31,334500143441, -64,2460773260564"/>
    <d v="1965-05-02T00:00:00"/>
    <n v="57"/>
    <x v="5"/>
    <x v="1"/>
    <s v="🚹"/>
    <x v="2"/>
    <d v="1973-12-21T00:00:00"/>
    <n v="49"/>
    <x v="4"/>
    <x v="0"/>
    <s v="🚹"/>
    <n v="1"/>
    <x v="0"/>
    <x v="1"/>
    <s v="No aplica"/>
    <s v="Billetera con $15,000 ARG"/>
    <x v="1"/>
    <x v="0"/>
    <s v="Abierto"/>
    <s v="40"/>
  </r>
  <r>
    <n v="939"/>
    <x v="833"/>
    <x v="833"/>
    <x v="833"/>
    <x v="5"/>
    <x v="7"/>
    <x v="1"/>
    <x v="1"/>
    <s v="-31,4129883640337, -64,1681120522587"/>
    <d v="1993-01-22T00:00:00"/>
    <n v="26"/>
    <x v="3"/>
    <x v="0"/>
    <s v="🚺"/>
    <x v="0"/>
    <d v="1973-12-28T00:00:00"/>
    <n v="45"/>
    <x v="1"/>
    <x v="1"/>
    <s v="🚺"/>
    <n v="3"/>
    <x v="0"/>
    <x v="4"/>
    <s v="No aplica"/>
    <s v="Auto modelo XXX, patente XXX XXX"/>
    <x v="1"/>
    <x v="1"/>
    <s v="En investigación"/>
    <s v="94"/>
  </r>
  <r>
    <n v="940"/>
    <x v="834"/>
    <x v="834"/>
    <x v="834"/>
    <x v="6"/>
    <x v="97"/>
    <x v="6"/>
    <x v="7"/>
    <s v="-31,4015892433235, -64,160442876477"/>
    <d v="1998-11-16T00:00:00"/>
    <n v="19"/>
    <x v="1"/>
    <x v="0"/>
    <s v="🚺"/>
    <x v="1"/>
    <d v="1984-05-06T00:00:00"/>
    <n v="34"/>
    <x v="6"/>
    <x v="1"/>
    <s v="🚺"/>
    <n v="3"/>
    <x v="0"/>
    <x v="3"/>
    <s v="No aplica"/>
    <s v="Auto modelo XXX, patente XXX XXX"/>
    <x v="1"/>
    <x v="0"/>
    <s v="Cerrado"/>
    <s v="237"/>
  </r>
  <r>
    <n v="942"/>
    <x v="835"/>
    <x v="835"/>
    <x v="835"/>
    <x v="1"/>
    <x v="327"/>
    <x v="8"/>
    <x v="3"/>
    <s v="-31,4148488101991, -64,1793406489438"/>
    <d v="1958-07-18T00:00:00"/>
    <n v="57"/>
    <x v="5"/>
    <x v="0"/>
    <s v="🚺"/>
    <x v="0"/>
    <d v="1976-01-27T00:00:00"/>
    <n v="40"/>
    <x v="1"/>
    <x v="0"/>
    <s v="🚹"/>
    <n v="1"/>
    <x v="0"/>
    <x v="4"/>
    <s v="Por vínculo"/>
    <s v="No aplica"/>
    <x v="1"/>
    <x v="0"/>
    <s v="Cerrado"/>
    <s v="21"/>
  </r>
  <r>
    <n v="943"/>
    <x v="836"/>
    <x v="836"/>
    <x v="836"/>
    <x v="0"/>
    <x v="662"/>
    <x v="2"/>
    <x v="3"/>
    <s v="-31,4148488101991, -64,1793406489438"/>
    <d v="1976-06-04T00:00:00"/>
    <n v="41"/>
    <x v="6"/>
    <x v="1"/>
    <s v="🚹"/>
    <x v="2"/>
    <d v="2010-10-15T00:00:00"/>
    <n v="7"/>
    <x v="5"/>
    <x v="0"/>
    <s v="🚹"/>
    <n v="3"/>
    <x v="0"/>
    <x v="0"/>
    <s v="No aplica"/>
    <s v="Evasión fiscal"/>
    <x v="1"/>
    <x v="1"/>
    <s v="Cerrado"/>
    <s v="186"/>
  </r>
  <r>
    <n v="946"/>
    <x v="837"/>
    <x v="837"/>
    <x v="837"/>
    <x v="4"/>
    <x v="663"/>
    <x v="7"/>
    <x v="7"/>
    <s v="-31,4015892433235, -64,160442876477"/>
    <d v="1960-03-27T00:00:00"/>
    <n v="58"/>
    <x v="5"/>
    <x v="0"/>
    <s v="🚺"/>
    <x v="2"/>
    <d v="2015-07-02T00:00:00"/>
    <n v="3"/>
    <x v="5"/>
    <x v="1"/>
    <s v="🚺"/>
    <n v="2"/>
    <x v="0"/>
    <x v="0"/>
    <s v="No aplica"/>
    <s v="Lavado de dinero"/>
    <x v="1"/>
    <x v="0"/>
    <s v="Cerrado"/>
    <s v="267"/>
  </r>
  <r>
    <n v="878"/>
    <x v="838"/>
    <x v="838"/>
    <x v="838"/>
    <x v="4"/>
    <x v="655"/>
    <x v="4"/>
    <x v="11"/>
    <s v="-31,4506257494184, -64,1733054344705"/>
    <d v="1965-11-12T00:00:00"/>
    <n v="58"/>
    <x v="5"/>
    <x v="0"/>
    <s v="🚺"/>
    <x v="2"/>
    <d v="1964-06-19T00:00:00"/>
    <n v="60"/>
    <x v="2"/>
    <x v="0"/>
    <s v="🚹"/>
    <n v="1"/>
    <x v="1"/>
    <x v="3"/>
    <s v="No aplica"/>
    <s v="Billetera con $15,000 ARG"/>
    <x v="1"/>
    <x v="0"/>
    <s v="Abierto"/>
    <s v="No aplica"/>
  </r>
  <r>
    <n v="64"/>
    <x v="839"/>
    <x v="839"/>
    <x v="839"/>
    <x v="5"/>
    <x v="294"/>
    <x v="2"/>
    <x v="6"/>
    <s v="-31,3909520937826, -64,1836424491715"/>
    <d v="1969-07-10T00:00:00"/>
    <n v="54"/>
    <x v="0"/>
    <x v="1"/>
    <s v="🚹"/>
    <x v="2"/>
    <d v="1985-10-11T00:00:00"/>
    <n v="38"/>
    <x v="1"/>
    <x v="1"/>
    <s v="🚺"/>
    <n v="3"/>
    <x v="1"/>
    <x v="0"/>
    <s v="No aplica"/>
    <s v="Vidrios de comercio rotos"/>
    <x v="1"/>
    <x v="0"/>
    <s v="Cerrado"/>
    <s v="No aplica"/>
  </r>
  <r>
    <n v="244"/>
    <x v="840"/>
    <x v="840"/>
    <x v="840"/>
    <x v="0"/>
    <x v="664"/>
    <x v="11"/>
    <x v="3"/>
    <s v="-31,4148488101991, -64,1793406489438"/>
    <d v="1964-05-01T00:00:00"/>
    <n v="60"/>
    <x v="5"/>
    <x v="0"/>
    <s v="🚺"/>
    <x v="1"/>
    <d v="1945-01-01T00:00:00"/>
    <n v="79"/>
    <x v="0"/>
    <x v="0"/>
    <s v="🚹"/>
    <n v="3"/>
    <x v="1"/>
    <x v="0"/>
    <s v="No aplica"/>
    <s v="5kg de cocaína"/>
    <x v="1"/>
    <x v="0"/>
    <s v="Cerrado"/>
    <s v="No aplica"/>
  </r>
  <r>
    <n v="803"/>
    <x v="841"/>
    <x v="841"/>
    <x v="841"/>
    <x v="5"/>
    <x v="665"/>
    <x v="8"/>
    <x v="4"/>
    <s v="-31,3759272890294, -64,2284587792478"/>
    <d v="1950-09-09T00:00:00"/>
    <n v="73"/>
    <x v="4"/>
    <x v="1"/>
    <s v="🚹"/>
    <x v="3"/>
    <d v="2006-05-13T00:00:00"/>
    <n v="18"/>
    <x v="3"/>
    <x v="0"/>
    <s v="🚹"/>
    <n v="2"/>
    <x v="1"/>
    <x v="0"/>
    <s v="No aplica"/>
    <s v="Vidrios de comercio rotos"/>
    <x v="1"/>
    <x v="1"/>
    <s v="Cerrado"/>
    <s v="No aplica"/>
  </r>
  <r>
    <n v="947"/>
    <x v="842"/>
    <x v="842"/>
    <x v="842"/>
    <x v="3"/>
    <x v="666"/>
    <x v="3"/>
    <x v="4"/>
    <s v="-31,3759272890294, -64,2284587792478"/>
    <d v="1996-06-17T00:00:00"/>
    <n v="19"/>
    <x v="1"/>
    <x v="0"/>
    <s v="🚺"/>
    <x v="4"/>
    <d v="1959-10-09T00:00:00"/>
    <n v="56"/>
    <x v="2"/>
    <x v="0"/>
    <s v="🚹"/>
    <n v="2"/>
    <x v="0"/>
    <x v="1"/>
    <s v="Alevosía"/>
    <s v="No aplica"/>
    <x v="1"/>
    <x v="0"/>
    <s v="Abierto"/>
    <s v="170"/>
  </r>
  <r>
    <n v="948"/>
    <x v="843"/>
    <x v="843"/>
    <x v="843"/>
    <x v="4"/>
    <x v="667"/>
    <x v="9"/>
    <x v="3"/>
    <s v="-31,4148488101991, -64,1793406489438"/>
    <d v="1957-06-26T00:00:00"/>
    <n v="57"/>
    <x v="5"/>
    <x v="1"/>
    <s v="🚹"/>
    <x v="1"/>
    <d v="1961-02-13T00:00:00"/>
    <n v="54"/>
    <x v="4"/>
    <x v="1"/>
    <s v="🚺"/>
    <n v="2"/>
    <x v="0"/>
    <x v="0"/>
    <s v="No aplica"/>
    <s v="Contrato fraudulento"/>
    <x v="0"/>
    <x v="0"/>
    <s v="Cerrado"/>
    <s v="211"/>
  </r>
  <r>
    <n v="953"/>
    <x v="395"/>
    <x v="395"/>
    <x v="395"/>
    <x v="3"/>
    <x v="164"/>
    <x v="10"/>
    <x v="6"/>
    <s v="-31,3909520937826, -64,1836424491715"/>
    <d v="1981-10-18T00:00:00"/>
    <n v="37"/>
    <x v="6"/>
    <x v="0"/>
    <s v="🚺"/>
    <x v="2"/>
    <d v="1978-11-17T00:00:00"/>
    <n v="40"/>
    <x v="1"/>
    <x v="0"/>
    <s v="🚹"/>
    <n v="3"/>
    <x v="0"/>
    <x v="0"/>
    <s v="No aplica"/>
    <s v="Cuentas falsas"/>
    <x v="1"/>
    <x v="0"/>
    <s v="Cerrado"/>
    <s v="217"/>
  </r>
  <r>
    <n v="956"/>
    <x v="844"/>
    <x v="844"/>
    <x v="844"/>
    <x v="1"/>
    <x v="668"/>
    <x v="4"/>
    <x v="6"/>
    <s v="-31,3909520937826, -64,1836424491715"/>
    <d v="1996-07-07T00:00:00"/>
    <n v="23"/>
    <x v="1"/>
    <x v="1"/>
    <s v="🚹"/>
    <x v="1"/>
    <d v="1966-05-23T00:00:00"/>
    <n v="54"/>
    <x v="4"/>
    <x v="1"/>
    <s v="🚺"/>
    <n v="3"/>
    <x v="0"/>
    <x v="0"/>
    <s v="No aplica"/>
    <s v="No aplica"/>
    <x v="0"/>
    <x v="0"/>
    <s v="Abierto"/>
    <s v="65"/>
  </r>
  <r>
    <n v="269"/>
    <x v="845"/>
    <x v="845"/>
    <x v="845"/>
    <x v="5"/>
    <x v="669"/>
    <x v="11"/>
    <x v="9"/>
    <s v="-31,4076397196409, -64,2020170430678"/>
    <d v="1994-03-24T00:00:00"/>
    <n v="30"/>
    <x v="3"/>
    <x v="0"/>
    <s v="🚺"/>
    <x v="3"/>
    <d v="1991-12-17T00:00:00"/>
    <n v="32"/>
    <x v="6"/>
    <x v="0"/>
    <s v="🚹"/>
    <n v="3"/>
    <x v="1"/>
    <x v="0"/>
    <s v="No aplica"/>
    <s v="Estafa bancaria"/>
    <x v="1"/>
    <x v="1"/>
    <s v="Abierto"/>
    <s v="No aplica"/>
  </r>
  <r>
    <n v="957"/>
    <x v="846"/>
    <x v="846"/>
    <x v="846"/>
    <x v="6"/>
    <x v="670"/>
    <x v="5"/>
    <x v="8"/>
    <s v="-31,423018915313, -64,1493562190664"/>
    <d v="1993-11-22T00:00:00"/>
    <n v="24"/>
    <x v="1"/>
    <x v="1"/>
    <s v="🚹"/>
    <x v="1"/>
    <d v="1973-05-07T00:00:00"/>
    <n v="45"/>
    <x v="1"/>
    <x v="1"/>
    <s v="🚺"/>
    <n v="3"/>
    <x v="0"/>
    <x v="0"/>
    <s v="Alevosía"/>
    <s v="No aplica"/>
    <x v="1"/>
    <x v="0"/>
    <s v="En investigación"/>
    <s v="280"/>
  </r>
  <r>
    <n v="565"/>
    <x v="847"/>
    <x v="847"/>
    <x v="847"/>
    <x v="5"/>
    <x v="671"/>
    <x v="1"/>
    <x v="7"/>
    <s v="-31,4015892433235, -64,160442876477"/>
    <d v="2004-08-10T00:00:00"/>
    <n v="20"/>
    <x v="1"/>
    <x v="0"/>
    <s v="🚺"/>
    <x v="2"/>
    <d v="1988-10-13T00:00:00"/>
    <n v="35"/>
    <x v="6"/>
    <x v="1"/>
    <s v="🚺"/>
    <n v="1"/>
    <x v="1"/>
    <x v="0"/>
    <s v="No aplica"/>
    <s v="Grafitis en edificios públicos"/>
    <x v="0"/>
    <x v="0"/>
    <s v="Cerrado"/>
    <s v="No aplica"/>
  </r>
  <r>
    <n v="959"/>
    <x v="848"/>
    <x v="848"/>
    <x v="848"/>
    <x v="1"/>
    <x v="672"/>
    <x v="0"/>
    <x v="2"/>
    <s v="-31,334500143441, -64,2460773260564"/>
    <d v="1950-01-10T00:00:00"/>
    <n v="73"/>
    <x v="4"/>
    <x v="0"/>
    <s v="🚺"/>
    <x v="0"/>
    <d v="1954-01-08T00:00:00"/>
    <n v="69"/>
    <x v="0"/>
    <x v="1"/>
    <s v="🚺"/>
    <n v="2"/>
    <x v="0"/>
    <x v="0"/>
    <s v="No aplica"/>
    <s v="No aplica"/>
    <x v="0"/>
    <x v="0"/>
    <s v="Cerrado"/>
    <s v="263"/>
  </r>
  <r>
    <n v="960"/>
    <x v="849"/>
    <x v="849"/>
    <x v="849"/>
    <x v="1"/>
    <x v="357"/>
    <x v="10"/>
    <x v="6"/>
    <s v="-31,3909520937826, -64,1836424491715"/>
    <d v="2001-04-11T00:00:00"/>
    <n v="20"/>
    <x v="1"/>
    <x v="1"/>
    <s v="🚹"/>
    <x v="0"/>
    <d v="1956-12-28T00:00:00"/>
    <n v="64"/>
    <x v="2"/>
    <x v="1"/>
    <s v="🚺"/>
    <n v="3"/>
    <x v="0"/>
    <x v="0"/>
    <s v="No aplica"/>
    <s v="Contrato fraudulento"/>
    <x v="1"/>
    <x v="0"/>
    <s v="Abierto"/>
    <s v="97"/>
  </r>
  <r>
    <n v="961"/>
    <x v="623"/>
    <x v="623"/>
    <x v="623"/>
    <x v="5"/>
    <x v="238"/>
    <x v="6"/>
    <x v="4"/>
    <s v="-31,3759272890294, -64,2284587792478"/>
    <d v="1967-05-16T00:00:00"/>
    <n v="53"/>
    <x v="0"/>
    <x v="0"/>
    <s v="🚺"/>
    <x v="3"/>
    <d v="1947-07-17T00:00:00"/>
    <n v="73"/>
    <x v="0"/>
    <x v="1"/>
    <s v="🚺"/>
    <n v="3"/>
    <x v="0"/>
    <x v="1"/>
    <s v="No aplica"/>
    <s v="Celular, tarjetas bancarias"/>
    <x v="1"/>
    <x v="0"/>
    <s v="En investigación"/>
    <s v="116"/>
  </r>
  <r>
    <n v="963"/>
    <x v="481"/>
    <x v="481"/>
    <x v="481"/>
    <x v="5"/>
    <x v="337"/>
    <x v="2"/>
    <x v="7"/>
    <s v="-31,4015892433235, -64,160442876477"/>
    <d v="1975-12-05T00:00:00"/>
    <n v="43"/>
    <x v="6"/>
    <x v="0"/>
    <s v="🚺"/>
    <x v="0"/>
    <d v="1997-09-09T00:00:00"/>
    <n v="21"/>
    <x v="3"/>
    <x v="0"/>
    <s v="🚹"/>
    <n v="3"/>
    <x v="0"/>
    <x v="0"/>
    <s v="No aplica"/>
    <s v="Bicicleta"/>
    <x v="0"/>
    <x v="0"/>
    <s v="Abierto"/>
    <s v="246"/>
  </r>
  <r>
    <n v="764"/>
    <x v="850"/>
    <x v="850"/>
    <x v="850"/>
    <x v="6"/>
    <x v="126"/>
    <x v="5"/>
    <x v="8"/>
    <s v="-31,423018915313, -64,1493562190664"/>
    <d v="1996-07-21T00:00:00"/>
    <n v="28"/>
    <x v="3"/>
    <x v="0"/>
    <s v="🚺"/>
    <x v="0"/>
    <d v="1967-08-06T00:00:00"/>
    <n v="57"/>
    <x v="2"/>
    <x v="1"/>
    <s v="🚺"/>
    <n v="3"/>
    <x v="1"/>
    <x v="0"/>
    <s v="No aplica"/>
    <s v="Grafitis en edificios públicos"/>
    <x v="0"/>
    <x v="1"/>
    <s v="En investigación"/>
    <s v="No aplica"/>
  </r>
  <r>
    <n v="965"/>
    <x v="851"/>
    <x v="851"/>
    <x v="851"/>
    <x v="3"/>
    <x v="673"/>
    <x v="5"/>
    <x v="9"/>
    <s v="-31,4076397196409, -64,2020170430678"/>
    <d v="1983-02-02T00:00:00"/>
    <n v="32"/>
    <x v="3"/>
    <x v="1"/>
    <s v="🚹"/>
    <x v="2"/>
    <d v="1989-10-04T00:00:00"/>
    <n v="26"/>
    <x v="6"/>
    <x v="1"/>
    <s v="🚺"/>
    <n v="2"/>
    <x v="0"/>
    <x v="0"/>
    <s v="No aplica"/>
    <s v="Cuentas falsas"/>
    <x v="1"/>
    <x v="0"/>
    <s v="Cerrado"/>
    <s v="109"/>
  </r>
  <r>
    <n v="966"/>
    <x v="611"/>
    <x v="611"/>
    <x v="611"/>
    <x v="6"/>
    <x v="674"/>
    <x v="6"/>
    <x v="9"/>
    <s v="-31,4076397196409, -64,2020170430678"/>
    <d v="1958-12-26T00:00:00"/>
    <n v="62"/>
    <x v="5"/>
    <x v="1"/>
    <s v="🚹"/>
    <x v="2"/>
    <d v="2005-01-22T00:00:00"/>
    <n v="16"/>
    <x v="5"/>
    <x v="1"/>
    <s v="🚺"/>
    <n v="3"/>
    <x v="0"/>
    <x v="0"/>
    <s v="Sin agravantes"/>
    <s v="No aplica"/>
    <x v="1"/>
    <x v="1"/>
    <s v="Cerrado"/>
    <s v="240"/>
  </r>
  <r>
    <n v="310"/>
    <x v="339"/>
    <x v="339"/>
    <x v="339"/>
    <x v="5"/>
    <x v="302"/>
    <x v="8"/>
    <x v="9"/>
    <s v="-31,4076397196409, -64,2020170430678"/>
    <d v="1994-04-14T00:00:00"/>
    <n v="30"/>
    <x v="3"/>
    <x v="0"/>
    <s v="🚺"/>
    <x v="3"/>
    <d v="1963-05-10T00:00:00"/>
    <n v="61"/>
    <x v="2"/>
    <x v="0"/>
    <s v="🚹"/>
    <n v="1"/>
    <x v="1"/>
    <x v="0"/>
    <s v="No aplica"/>
    <s v="Plantas de marihuana"/>
    <x v="1"/>
    <x v="1"/>
    <s v="En investigación"/>
    <s v="No aplica"/>
  </r>
  <r>
    <n v="969"/>
    <x v="852"/>
    <x v="852"/>
    <x v="852"/>
    <x v="4"/>
    <x v="18"/>
    <x v="8"/>
    <x v="8"/>
    <s v="-31,423018915313, -64,1493562190664"/>
    <d v="1953-10-03T00:00:00"/>
    <n v="63"/>
    <x v="5"/>
    <x v="0"/>
    <s v="🚺"/>
    <x v="2"/>
    <d v="1981-03-03T00:00:00"/>
    <n v="36"/>
    <x v="1"/>
    <x v="1"/>
    <s v="🚺"/>
    <n v="3"/>
    <x v="0"/>
    <x v="1"/>
    <s v="No aplica"/>
    <s v="Laptop marca HP"/>
    <x v="1"/>
    <x v="1"/>
    <s v="Abierto"/>
    <s v="219"/>
  </r>
  <r>
    <n v="971"/>
    <x v="853"/>
    <x v="853"/>
    <x v="853"/>
    <x v="6"/>
    <x v="675"/>
    <x v="1"/>
    <x v="2"/>
    <s v="-31,334500143441, -64,2460773260564"/>
    <d v="1967-03-18T00:00:00"/>
    <n v="48"/>
    <x v="0"/>
    <x v="0"/>
    <s v="🚺"/>
    <x v="2"/>
    <d v="1985-02-04T00:00:00"/>
    <n v="30"/>
    <x v="6"/>
    <x v="1"/>
    <s v="🚺"/>
    <n v="1"/>
    <x v="0"/>
    <x v="0"/>
    <s v="No aplica"/>
    <s v="Celular"/>
    <x v="1"/>
    <x v="1"/>
    <s v="Abierto"/>
    <s v="202"/>
  </r>
  <r>
    <n v="815"/>
    <x v="854"/>
    <x v="854"/>
    <x v="854"/>
    <x v="4"/>
    <x v="676"/>
    <x v="7"/>
    <x v="10"/>
    <s v="-31,4285567311661, -64,1853198281007"/>
    <d v="1996-02-17T00:00:00"/>
    <n v="28"/>
    <x v="3"/>
    <x v="0"/>
    <s v="🚺"/>
    <x v="4"/>
    <d v="1967-01-04T00:00:00"/>
    <n v="57"/>
    <x v="2"/>
    <x v="1"/>
    <s v="🚺"/>
    <n v="1"/>
    <x v="1"/>
    <x v="0"/>
    <s v="Con ensañamiento"/>
    <s v="No aplica"/>
    <x v="1"/>
    <x v="1"/>
    <s v="Abierto"/>
    <s v="No aplica"/>
  </r>
  <r>
    <n v="717"/>
    <x v="855"/>
    <x v="855"/>
    <x v="855"/>
    <x v="1"/>
    <x v="677"/>
    <x v="6"/>
    <x v="4"/>
    <s v="-31,3759272890294, -64,2284587792478"/>
    <d v="1972-11-27T00:00:00"/>
    <n v="51"/>
    <x v="0"/>
    <x v="1"/>
    <s v="🚹"/>
    <x v="0"/>
    <d v="1940-01-14T00:00:00"/>
    <n v="84"/>
    <x v="0"/>
    <x v="0"/>
    <s v="🚹"/>
    <n v="2"/>
    <x v="1"/>
    <x v="0"/>
    <s v="No aplica"/>
    <s v="No aplica"/>
    <x v="0"/>
    <x v="0"/>
    <s v="Cerrado"/>
    <s v="No aplica"/>
  </r>
  <r>
    <n v="972"/>
    <x v="856"/>
    <x v="856"/>
    <x v="856"/>
    <x v="3"/>
    <x v="207"/>
    <x v="5"/>
    <x v="6"/>
    <s v="-31,3909520937826, -64,1836424491715"/>
    <d v="1983-05-27T00:00:00"/>
    <n v="32"/>
    <x v="3"/>
    <x v="1"/>
    <s v="🚹"/>
    <x v="4"/>
    <d v="1971-08-15T00:00:00"/>
    <n v="44"/>
    <x v="1"/>
    <x v="0"/>
    <s v="🚹"/>
    <n v="3"/>
    <x v="0"/>
    <x v="0"/>
    <s v="No aplica"/>
    <s v="Contrato fraudulento"/>
    <x v="1"/>
    <x v="0"/>
    <s v="Cerrado"/>
    <s v="227"/>
  </r>
  <r>
    <n v="973"/>
    <x v="857"/>
    <x v="857"/>
    <x v="857"/>
    <x v="5"/>
    <x v="495"/>
    <x v="2"/>
    <x v="6"/>
    <s v="-31,3909520937826, -64,1836424491715"/>
    <d v="1978-06-28T00:00:00"/>
    <n v="39"/>
    <x v="6"/>
    <x v="0"/>
    <s v="🚺"/>
    <x v="2"/>
    <d v="1974-04-06T00:00:00"/>
    <n v="43"/>
    <x v="1"/>
    <x v="1"/>
    <s v="🚺"/>
    <n v="2"/>
    <x v="0"/>
    <x v="0"/>
    <s v="Alevosía"/>
    <s v="No aplica"/>
    <x v="1"/>
    <x v="0"/>
    <s v="Cerrado"/>
    <s v="97"/>
  </r>
  <r>
    <n v="746"/>
    <x v="586"/>
    <x v="586"/>
    <x v="586"/>
    <x v="0"/>
    <x v="632"/>
    <x v="5"/>
    <x v="3"/>
    <s v="-31,4148488101991, -64,1793406489438"/>
    <d v="1960-07-20T00:00:00"/>
    <n v="64"/>
    <x v="5"/>
    <x v="1"/>
    <s v="🚹"/>
    <x v="0"/>
    <d v="1991-09-21T00:00:00"/>
    <n v="33"/>
    <x v="6"/>
    <x v="0"/>
    <s v="🚹"/>
    <n v="2"/>
    <x v="1"/>
    <x v="2"/>
    <s v="No aplica"/>
    <s v="Celular, tarjetas bancarias"/>
    <x v="1"/>
    <x v="1"/>
    <s v="Cerrado"/>
    <s v="No aplica"/>
  </r>
  <r>
    <n v="884"/>
    <x v="858"/>
    <x v="858"/>
    <x v="858"/>
    <x v="2"/>
    <x v="678"/>
    <x v="6"/>
    <x v="7"/>
    <s v="-31,4015892433235, -64,160442876477"/>
    <d v="1964-11-23T00:00:00"/>
    <n v="59"/>
    <x v="5"/>
    <x v="1"/>
    <s v="🚹"/>
    <x v="2"/>
    <d v="1961-05-10T00:00:00"/>
    <n v="63"/>
    <x v="2"/>
    <x v="1"/>
    <s v="🚺"/>
    <n v="2"/>
    <x v="1"/>
    <x v="0"/>
    <s v="No aplica"/>
    <s v="Contrato fraudulento"/>
    <x v="1"/>
    <x v="1"/>
    <s v="Abierto"/>
    <s v="No aplica"/>
  </r>
  <r>
    <n v="981"/>
    <x v="859"/>
    <x v="859"/>
    <x v="859"/>
    <x v="0"/>
    <x v="507"/>
    <x v="3"/>
    <x v="4"/>
    <s v="-31,3759272890294, -64,2284587792478"/>
    <d v="1978-07-23T00:00:00"/>
    <n v="46"/>
    <x v="0"/>
    <x v="0"/>
    <s v="🚺"/>
    <x v="1"/>
    <d v="1945-03-22T00:00:00"/>
    <n v="79"/>
    <x v="0"/>
    <x v="0"/>
    <s v="🚹"/>
    <n v="1"/>
    <x v="1"/>
    <x v="1"/>
    <s v="No aplica"/>
    <s v="Celular, tarjetas bancarias"/>
    <x v="1"/>
    <x v="1"/>
    <s v="Cerrado"/>
    <s v="No aplica"/>
  </r>
  <r>
    <n v="773"/>
    <x v="860"/>
    <x v="860"/>
    <x v="860"/>
    <x v="3"/>
    <x v="474"/>
    <x v="4"/>
    <x v="9"/>
    <s v="-31,4076397196409, -64,2020170430678"/>
    <d v="1975-08-02T00:00:00"/>
    <n v="49"/>
    <x v="0"/>
    <x v="1"/>
    <s v="🚹"/>
    <x v="4"/>
    <d v="1941-07-28T00:00:00"/>
    <n v="83"/>
    <x v="0"/>
    <x v="1"/>
    <s v="🚺"/>
    <n v="2"/>
    <x v="1"/>
    <x v="0"/>
    <s v="No aplica"/>
    <s v="Estafa bancaria"/>
    <x v="1"/>
    <x v="1"/>
    <s v="En investigación"/>
    <s v="No aplica"/>
  </r>
  <r>
    <n v="464"/>
    <x v="861"/>
    <x v="861"/>
    <x v="861"/>
    <x v="4"/>
    <x v="679"/>
    <x v="11"/>
    <x v="9"/>
    <s v="-31,4076397196409, -64,2020170430678"/>
    <d v="1967-09-05T00:00:00"/>
    <n v="57"/>
    <x v="5"/>
    <x v="1"/>
    <s v="🚹"/>
    <x v="2"/>
    <d v="1950-05-15T00:00:00"/>
    <n v="74"/>
    <x v="0"/>
    <x v="1"/>
    <s v="🚺"/>
    <n v="1"/>
    <x v="1"/>
    <x v="4"/>
    <s v="Alevosía"/>
    <s v="No aplica"/>
    <x v="1"/>
    <x v="0"/>
    <s v="Cerrado"/>
    <s v="No aplica"/>
  </r>
  <r>
    <n v="974"/>
    <x v="862"/>
    <x v="862"/>
    <x v="862"/>
    <x v="5"/>
    <x v="680"/>
    <x v="7"/>
    <x v="8"/>
    <s v="-31,423018915313, -64,1493562190664"/>
    <d v="1992-07-09T00:00:00"/>
    <n v="26"/>
    <x v="3"/>
    <x v="0"/>
    <s v="🚺"/>
    <x v="3"/>
    <d v="1997-12-27T00:00:00"/>
    <n v="21"/>
    <x v="3"/>
    <x v="1"/>
    <s v="🚺"/>
    <n v="3"/>
    <x v="0"/>
    <x v="3"/>
    <s v="No aplica"/>
    <s v="Billetera con $15,000 ARG"/>
    <x v="0"/>
    <x v="0"/>
    <s v="Abierto"/>
    <s v="167"/>
  </r>
  <r>
    <n v="77"/>
    <x v="863"/>
    <x v="863"/>
    <x v="863"/>
    <x v="2"/>
    <x v="681"/>
    <x v="1"/>
    <x v="11"/>
    <s v="-31,4506257494184, -64,1733054344705"/>
    <d v="1976-01-18T00:00:00"/>
    <n v="48"/>
    <x v="0"/>
    <x v="0"/>
    <s v="🚺"/>
    <x v="4"/>
    <d v="1945-05-11T00:00:00"/>
    <n v="79"/>
    <x v="0"/>
    <x v="0"/>
    <s v="🚹"/>
    <n v="2"/>
    <x v="1"/>
    <x v="0"/>
    <s v="No aplica"/>
    <s v="Evasión fiscal"/>
    <x v="1"/>
    <x v="0"/>
    <s v="Abierto"/>
    <s v="No aplica"/>
  </r>
  <r>
    <n v="806"/>
    <x v="864"/>
    <x v="864"/>
    <x v="864"/>
    <x v="5"/>
    <x v="138"/>
    <x v="11"/>
    <x v="10"/>
    <s v="-31,4285567311661, -64,1853198281007"/>
    <d v="1997-03-10T00:00:00"/>
    <n v="27"/>
    <x v="3"/>
    <x v="0"/>
    <s v="🚺"/>
    <x v="2"/>
    <d v="1987-04-21T00:00:00"/>
    <n v="37"/>
    <x v="1"/>
    <x v="1"/>
    <s v="🚺"/>
    <n v="2"/>
    <x v="1"/>
    <x v="0"/>
    <s v="No aplica"/>
    <s v="Estafa bancaria"/>
    <x v="0"/>
    <x v="0"/>
    <s v="Cerrado"/>
    <s v="No aplica"/>
  </r>
  <r>
    <n v="745"/>
    <x v="865"/>
    <x v="865"/>
    <x v="865"/>
    <x v="2"/>
    <x v="682"/>
    <x v="6"/>
    <x v="7"/>
    <s v="-31,4015892433235, -64,160442876477"/>
    <d v="1989-10-25T00:00:00"/>
    <n v="35"/>
    <x v="3"/>
    <x v="1"/>
    <s v="🚹"/>
    <x v="0"/>
    <d v="1947-05-13T00:00:00"/>
    <n v="77"/>
    <x v="0"/>
    <x v="1"/>
    <s v="🚺"/>
    <n v="2"/>
    <x v="1"/>
    <x v="0"/>
    <s v="No aplica"/>
    <s v="5kg de cocaína"/>
    <x v="1"/>
    <x v="0"/>
    <s v="Cerrado"/>
    <s v="No aplica"/>
  </r>
  <r>
    <n v="945"/>
    <x v="866"/>
    <x v="866"/>
    <x v="866"/>
    <x v="0"/>
    <x v="683"/>
    <x v="6"/>
    <x v="0"/>
    <s v="-31,4800162965848, -64,2094200976892"/>
    <d v="1982-02-02T00:00:00"/>
    <n v="42"/>
    <x v="6"/>
    <x v="1"/>
    <s v="🚹"/>
    <x v="4"/>
    <d v="1961-07-18T00:00:00"/>
    <n v="63"/>
    <x v="2"/>
    <x v="1"/>
    <s v="🚺"/>
    <n v="2"/>
    <x v="1"/>
    <x v="3"/>
    <s v="Por vínculo"/>
    <s v="No aplica"/>
    <x v="1"/>
    <x v="0"/>
    <s v="Cerrado"/>
    <s v="No aplica"/>
  </r>
  <r>
    <n v="975"/>
    <x v="867"/>
    <x v="867"/>
    <x v="867"/>
    <x v="6"/>
    <x v="644"/>
    <x v="0"/>
    <x v="7"/>
    <s v="-31,4015892433235, -64,160442876477"/>
    <d v="2001-04-02T00:00:00"/>
    <n v="23"/>
    <x v="1"/>
    <x v="0"/>
    <s v="🚺"/>
    <x v="4"/>
    <d v="1942-05-15T00:00:00"/>
    <n v="82"/>
    <x v="0"/>
    <x v="1"/>
    <s v="🚺"/>
    <n v="1"/>
    <x v="0"/>
    <x v="0"/>
    <s v="No aplica"/>
    <s v="Vidrios de comercio rotos"/>
    <x v="0"/>
    <x v="1"/>
    <s v="Cerrado"/>
    <s v="266"/>
  </r>
  <r>
    <n v="163"/>
    <x v="868"/>
    <x v="868"/>
    <x v="868"/>
    <x v="5"/>
    <x v="684"/>
    <x v="1"/>
    <x v="10"/>
    <s v="-31,4285567311661, -64,1853198281007"/>
    <d v="2002-11-22T00:00:00"/>
    <n v="21"/>
    <x v="1"/>
    <x v="0"/>
    <s v="🚺"/>
    <x v="0"/>
    <d v="1945-09-21T00:00:00"/>
    <n v="79"/>
    <x v="0"/>
    <x v="1"/>
    <s v="🚺"/>
    <n v="3"/>
    <x v="1"/>
    <x v="0"/>
    <s v="No aplica"/>
    <s v="Dinero público desviado"/>
    <x v="0"/>
    <x v="1"/>
    <s v="Abierto"/>
    <s v="No aplica"/>
  </r>
  <r>
    <n v="976"/>
    <x v="502"/>
    <x v="502"/>
    <x v="502"/>
    <x v="1"/>
    <x v="685"/>
    <x v="11"/>
    <x v="5"/>
    <s v="-31,3477902896523, -64,2644406169297"/>
    <d v="1972-01-23T00:00:00"/>
    <n v="48"/>
    <x v="0"/>
    <x v="1"/>
    <s v="🚹"/>
    <x v="3"/>
    <d v="1951-06-16T00:00:00"/>
    <n v="69"/>
    <x v="0"/>
    <x v="0"/>
    <s v="🚹"/>
    <n v="3"/>
    <x v="0"/>
    <x v="0"/>
    <s v="No aplica"/>
    <s v="Cuentas falsas"/>
    <x v="1"/>
    <x v="0"/>
    <s v="Abierto"/>
    <s v="7"/>
  </r>
  <r>
    <n v="108"/>
    <x v="869"/>
    <x v="869"/>
    <x v="869"/>
    <x v="0"/>
    <x v="267"/>
    <x v="9"/>
    <x v="7"/>
    <s v="-31,4015892433235, -64,160442876477"/>
    <d v="1990-02-18T00:00:00"/>
    <n v="34"/>
    <x v="3"/>
    <x v="1"/>
    <s v="🚹"/>
    <x v="3"/>
    <d v="1944-11-07T00:00:00"/>
    <n v="80"/>
    <x v="0"/>
    <x v="0"/>
    <s v="🚹"/>
    <n v="1"/>
    <x v="1"/>
    <x v="0"/>
    <s v="No aplica"/>
    <s v="Ropa de marca"/>
    <x v="0"/>
    <x v="0"/>
    <s v="Cerrado"/>
    <s v="No aplica"/>
  </r>
  <r>
    <n v="977"/>
    <x v="634"/>
    <x v="634"/>
    <x v="634"/>
    <x v="4"/>
    <x v="227"/>
    <x v="5"/>
    <x v="2"/>
    <s v="-31,334500143441, -64,2460773260564"/>
    <d v="1957-12-07T00:00:00"/>
    <n v="64"/>
    <x v="5"/>
    <x v="0"/>
    <s v="🚺"/>
    <x v="2"/>
    <d v="1987-02-16T00:00:00"/>
    <n v="35"/>
    <x v="6"/>
    <x v="1"/>
    <s v="🚺"/>
    <n v="2"/>
    <x v="0"/>
    <x v="0"/>
    <s v="No aplica"/>
    <s v="Lavado de dinero"/>
    <x v="0"/>
    <x v="0"/>
    <s v="Abierto"/>
    <s v="182"/>
  </r>
  <r>
    <n v="978"/>
    <x v="870"/>
    <x v="870"/>
    <x v="870"/>
    <x v="5"/>
    <x v="362"/>
    <x v="5"/>
    <x v="6"/>
    <s v="-31,3909520937826, -64,1836424491715"/>
    <d v="1989-05-16T00:00:00"/>
    <n v="32"/>
    <x v="3"/>
    <x v="1"/>
    <s v="🚹"/>
    <x v="3"/>
    <d v="1974-07-20T00:00:00"/>
    <n v="47"/>
    <x v="4"/>
    <x v="1"/>
    <s v="🚺"/>
    <n v="3"/>
    <x v="0"/>
    <x v="1"/>
    <s v="No aplica"/>
    <s v="Billetera con $15,000 ARG"/>
    <x v="1"/>
    <x v="0"/>
    <s v="Cerrado"/>
    <s v="6"/>
  </r>
  <r>
    <n v="980"/>
    <x v="871"/>
    <x v="871"/>
    <x v="871"/>
    <x v="2"/>
    <x v="451"/>
    <x v="4"/>
    <x v="7"/>
    <s v="-31,4015892433235, -64,160442876477"/>
    <d v="1996-05-22T00:00:00"/>
    <n v="19"/>
    <x v="1"/>
    <x v="0"/>
    <s v="🚺"/>
    <x v="0"/>
    <d v="2010-12-16T00:00:00"/>
    <n v="5"/>
    <x v="5"/>
    <x v="1"/>
    <s v="🚺"/>
    <n v="3"/>
    <x v="0"/>
    <x v="0"/>
    <s v="No aplica"/>
    <s v="Celular"/>
    <x v="1"/>
    <x v="1"/>
    <s v="Abierto"/>
    <s v="27"/>
  </r>
  <r>
    <n v="668"/>
    <x v="496"/>
    <x v="496"/>
    <x v="496"/>
    <x v="4"/>
    <x v="579"/>
    <x v="8"/>
    <x v="7"/>
    <s v="-31,4015892433235, -64,160442876477"/>
    <d v="1990-06-13T00:00:00"/>
    <n v="34"/>
    <x v="3"/>
    <x v="0"/>
    <s v="🚺"/>
    <x v="4"/>
    <d v="1970-11-17T00:00:00"/>
    <n v="54"/>
    <x v="4"/>
    <x v="1"/>
    <s v="🚺"/>
    <n v="3"/>
    <x v="1"/>
    <x v="4"/>
    <s v="Con ensañamiento"/>
    <s v="No aplica"/>
    <x v="1"/>
    <x v="1"/>
    <s v="Abierto"/>
    <s v="No aplica"/>
  </r>
  <r>
    <n v="357"/>
    <x v="872"/>
    <x v="872"/>
    <x v="872"/>
    <x v="2"/>
    <x v="686"/>
    <x v="10"/>
    <x v="8"/>
    <s v="-31,423018915313, -64,1493562190664"/>
    <d v="1951-06-08T00:00:00"/>
    <n v="73"/>
    <x v="4"/>
    <x v="0"/>
    <s v="🚺"/>
    <x v="0"/>
    <d v="1946-03-18T00:00:00"/>
    <n v="78"/>
    <x v="0"/>
    <x v="0"/>
    <s v="🚹"/>
    <n v="3"/>
    <x v="1"/>
    <x v="0"/>
    <s v="No aplica"/>
    <s v="Evasión fiscal"/>
    <x v="1"/>
    <x v="1"/>
    <s v="Cerrado"/>
    <s v="No aplica"/>
  </r>
  <r>
    <n v="982"/>
    <x v="873"/>
    <x v="873"/>
    <x v="873"/>
    <x v="5"/>
    <x v="687"/>
    <x v="1"/>
    <x v="10"/>
    <s v="-31,4285567311661, -64,1853198281007"/>
    <d v="2006-08-24T00:00:00"/>
    <n v="10"/>
    <x v="2"/>
    <x v="0"/>
    <s v="🚺"/>
    <x v="3"/>
    <d v="1968-09-25T00:00:00"/>
    <n v="48"/>
    <x v="4"/>
    <x v="0"/>
    <s v="🚹"/>
    <n v="1"/>
    <x v="0"/>
    <x v="0"/>
    <s v="No aplica"/>
    <s v="Dinero público desviado"/>
    <x v="1"/>
    <x v="0"/>
    <s v="Cerrado"/>
    <s v="148"/>
  </r>
  <r>
    <n v="632"/>
    <x v="874"/>
    <x v="874"/>
    <x v="874"/>
    <x v="4"/>
    <x v="688"/>
    <x v="4"/>
    <x v="8"/>
    <s v="-31,423018915313, -64,1493562190664"/>
    <d v="2000-10-28T00:00:00"/>
    <n v="24"/>
    <x v="1"/>
    <x v="1"/>
    <s v="🚹"/>
    <x v="1"/>
    <d v="1965-11-21T00:00:00"/>
    <n v="59"/>
    <x v="2"/>
    <x v="0"/>
    <s v="🚹"/>
    <n v="2"/>
    <x v="1"/>
    <x v="0"/>
    <s v="No aplica"/>
    <s v="Cuentas falsas"/>
    <x v="1"/>
    <x v="0"/>
    <s v="Cerrado"/>
    <s v="No aplica"/>
  </r>
  <r>
    <n v="877"/>
    <x v="875"/>
    <x v="875"/>
    <x v="875"/>
    <x v="1"/>
    <x v="689"/>
    <x v="9"/>
    <x v="11"/>
    <s v="-31,4506257494184, -64,1733054344705"/>
    <d v="2004-06-18T00:00:00"/>
    <n v="20"/>
    <x v="1"/>
    <x v="0"/>
    <s v="🚺"/>
    <x v="3"/>
    <d v="1996-10-25T00:00:00"/>
    <n v="28"/>
    <x v="6"/>
    <x v="1"/>
    <s v="🚺"/>
    <n v="3"/>
    <x v="1"/>
    <x v="0"/>
    <s v="No aplica"/>
    <s v="No aplica"/>
    <x v="1"/>
    <x v="0"/>
    <s v="Cerrado"/>
    <s v="No aplica"/>
  </r>
  <r>
    <n v="984"/>
    <x v="876"/>
    <x v="876"/>
    <x v="876"/>
    <x v="5"/>
    <x v="42"/>
    <x v="7"/>
    <x v="3"/>
    <s v="-31,4148488101991, -64,1793406489438"/>
    <d v="1970-04-07T00:00:00"/>
    <n v="51"/>
    <x v="0"/>
    <x v="1"/>
    <s v="🚹"/>
    <x v="0"/>
    <d v="1943-07-07T00:00:00"/>
    <n v="77"/>
    <x v="0"/>
    <x v="1"/>
    <s v="🚺"/>
    <n v="1"/>
    <x v="0"/>
    <x v="0"/>
    <s v="No aplica"/>
    <s v="Plantas de marihuana"/>
    <x v="1"/>
    <x v="0"/>
    <s v="Abierto"/>
    <s v="201"/>
  </r>
  <r>
    <n v="694"/>
    <x v="877"/>
    <x v="877"/>
    <x v="877"/>
    <x v="2"/>
    <x v="690"/>
    <x v="4"/>
    <x v="0"/>
    <s v="-31,4800162965848, -64,2094200976892"/>
    <d v="1966-09-03T00:00:00"/>
    <n v="58"/>
    <x v="5"/>
    <x v="1"/>
    <s v="🚹"/>
    <x v="2"/>
    <d v="2009-02-10T00:00:00"/>
    <n v="15"/>
    <x v="5"/>
    <x v="0"/>
    <s v="🚹"/>
    <n v="2"/>
    <x v="1"/>
    <x v="0"/>
    <s v="No aplica"/>
    <s v="Cuentas falsas"/>
    <x v="1"/>
    <x v="0"/>
    <s v="Cerrado"/>
    <s v="No aplica"/>
  </r>
  <r>
    <n v="170"/>
    <x v="878"/>
    <x v="878"/>
    <x v="878"/>
    <x v="0"/>
    <x v="691"/>
    <x v="9"/>
    <x v="1"/>
    <s v="-31,4129883640337, -64,1681120522587"/>
    <d v="1985-12-23T00:00:00"/>
    <n v="39"/>
    <x v="6"/>
    <x v="0"/>
    <s v="🚺"/>
    <x v="4"/>
    <d v="1951-09-16T00:00:00"/>
    <n v="73"/>
    <x v="0"/>
    <x v="1"/>
    <s v="🚺"/>
    <n v="2"/>
    <x v="1"/>
    <x v="0"/>
    <s v="No aplica"/>
    <s v="Dinero público desviado"/>
    <x v="0"/>
    <x v="1"/>
    <s v="Cerrado"/>
    <s v="No aplica"/>
  </r>
  <r>
    <n v="648"/>
    <x v="879"/>
    <x v="879"/>
    <x v="879"/>
    <x v="4"/>
    <x v="513"/>
    <x v="6"/>
    <x v="5"/>
    <s v="-31,3477902896523, -64,2644406169297"/>
    <d v="1990-02-03T00:00:00"/>
    <n v="34"/>
    <x v="3"/>
    <x v="0"/>
    <s v="🚺"/>
    <x v="0"/>
    <d v="1947-10-24T00:00:00"/>
    <n v="77"/>
    <x v="0"/>
    <x v="0"/>
    <s v="🚹"/>
    <n v="1"/>
    <x v="1"/>
    <x v="0"/>
    <s v="Sin agravantes"/>
    <s v="No aplica"/>
    <x v="1"/>
    <x v="0"/>
    <s v="Cerrado"/>
    <s v="No aplica"/>
  </r>
  <r>
    <n v="991"/>
    <x v="880"/>
    <x v="880"/>
    <x v="880"/>
    <x v="4"/>
    <x v="503"/>
    <x v="6"/>
    <x v="5"/>
    <s v="-31,3477902896523, -64,2644406169297"/>
    <d v="1992-02-23T00:00:00"/>
    <n v="31"/>
    <x v="3"/>
    <x v="0"/>
    <s v="🚺"/>
    <x v="0"/>
    <d v="1972-04-20T00:00:00"/>
    <n v="51"/>
    <x v="4"/>
    <x v="1"/>
    <s v="🚺"/>
    <n v="1"/>
    <x v="0"/>
    <x v="3"/>
    <s v="Sin agravantes"/>
    <s v="No aplica"/>
    <x v="0"/>
    <x v="1"/>
    <s v="Cerrado"/>
    <s v="212"/>
  </r>
  <r>
    <n v="993"/>
    <x v="881"/>
    <x v="881"/>
    <x v="881"/>
    <x v="3"/>
    <x v="692"/>
    <x v="3"/>
    <x v="2"/>
    <s v="-31,334500143441, -64,2460773260564"/>
    <d v="1973-11-01T00:00:00"/>
    <n v="46"/>
    <x v="0"/>
    <x v="1"/>
    <s v="🚹"/>
    <x v="3"/>
    <d v="1956-12-18T00:00:00"/>
    <n v="63"/>
    <x v="2"/>
    <x v="0"/>
    <s v="🚹"/>
    <n v="1"/>
    <x v="0"/>
    <x v="0"/>
    <s v="No aplica"/>
    <s v="Estafa bancaria"/>
    <x v="0"/>
    <x v="1"/>
    <s v="Abierto"/>
    <s v="197"/>
  </r>
  <r>
    <n v="997"/>
    <x v="882"/>
    <x v="882"/>
    <x v="882"/>
    <x v="3"/>
    <x v="637"/>
    <x v="0"/>
    <x v="0"/>
    <s v="-31,4800162965848, -64,2094200976892"/>
    <d v="1975-04-27T00:00:00"/>
    <n v="49"/>
    <x v="0"/>
    <x v="0"/>
    <s v="🚺"/>
    <x v="2"/>
    <d v="1962-08-04T00:00:00"/>
    <n v="61"/>
    <x v="2"/>
    <x v="1"/>
    <s v="🚺"/>
    <n v="1"/>
    <x v="0"/>
    <x v="3"/>
    <s v="No aplica"/>
    <s v="Celular, tarjetas bancarias"/>
    <x v="1"/>
    <x v="1"/>
    <s v="Cerrado"/>
    <s v="128"/>
  </r>
  <r>
    <n v="998"/>
    <x v="883"/>
    <x v="883"/>
    <x v="883"/>
    <x v="6"/>
    <x v="278"/>
    <x v="1"/>
    <x v="3"/>
    <s v="-31,4148488101991, -64,1793406489438"/>
    <d v="1993-09-01T00:00:00"/>
    <n v="29"/>
    <x v="3"/>
    <x v="0"/>
    <s v="🚺"/>
    <x v="0"/>
    <d v="1991-06-25T00:00:00"/>
    <n v="31"/>
    <x v="6"/>
    <x v="1"/>
    <s v="🚺"/>
    <n v="1"/>
    <x v="0"/>
    <x v="0"/>
    <s v="No aplica"/>
    <s v="Lavado de dinero"/>
    <x v="1"/>
    <x v="0"/>
    <s v="Cerrado"/>
    <s v="181"/>
  </r>
  <r>
    <n v="296"/>
    <x v="884"/>
    <x v="884"/>
    <x v="884"/>
    <x v="0"/>
    <x v="661"/>
    <x v="6"/>
    <x v="9"/>
    <s v="-31,4076397196409, -64,2020170430678"/>
    <d v="1971-07-20T00:00:00"/>
    <n v="53"/>
    <x v="0"/>
    <x v="0"/>
    <s v="🚺"/>
    <x v="4"/>
    <d v="1958-09-18T00:00:00"/>
    <n v="66"/>
    <x v="0"/>
    <x v="0"/>
    <s v="🚹"/>
    <n v="3"/>
    <x v="1"/>
    <x v="2"/>
    <s v="No aplica"/>
    <s v="Billetera con $15,000 ARG"/>
    <x v="1"/>
    <x v="0"/>
    <s v="Cerrado"/>
    <s v="No aplica"/>
  </r>
  <r>
    <m/>
    <x v="885"/>
    <x v="885"/>
    <x v="885"/>
    <x v="7"/>
    <x v="693"/>
    <x v="12"/>
    <x v="12"/>
    <m/>
    <m/>
    <m/>
    <x v="7"/>
    <x v="2"/>
    <m/>
    <x v="5"/>
    <m/>
    <m/>
    <x v="7"/>
    <x v="2"/>
    <m/>
    <m/>
    <x v="2"/>
    <x v="5"/>
    <m/>
    <m/>
    <x v="2"/>
    <x v="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330E75-11DD-421D-870A-4796D58DB543}" name="TablaDinámica11" cacheId="0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2" colHeaderCaption="">
  <location ref="A3:P17" firstHeaderRow="1" firstDataRow="4" firstDataCol="1"/>
  <pivotFields count="34"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894">
        <item x="0"/>
        <item x="3"/>
        <item x="4"/>
        <item x="1"/>
        <item x="5"/>
        <item x="6"/>
        <item x="2"/>
        <item m="1" x="29"/>
        <item m="1" x="454"/>
        <item m="1" x="39"/>
        <item m="1" x="74"/>
        <item m="1" x="501"/>
        <item m="1" x="518"/>
        <item m="1" x="103"/>
        <item m="1" x="471"/>
        <item m="1" x="486"/>
        <item m="1" x="519"/>
        <item m="1" x="541"/>
        <item m="1" x="125"/>
        <item m="1" x="587"/>
        <item m="1" x="183"/>
        <item m="1" x="64"/>
        <item m="1" x="644"/>
        <item m="1" x="210"/>
        <item m="1" x="249"/>
        <item m="1" x="93"/>
        <item m="1" x="532"/>
        <item m="1" x="166"/>
        <item m="1" x="607"/>
        <item m="1" x="668"/>
        <item m="1" x="231"/>
        <item m="1" x="250"/>
        <item m="1" x="534"/>
        <item m="1" x="128"/>
        <item m="1" x="169"/>
        <item m="1" x="186"/>
        <item m="1" x="646"/>
        <item m="1" x="669"/>
        <item m="1" x="267"/>
        <item m="1" x="321"/>
        <item m="1" x="785"/>
        <item m="1" x="564"/>
        <item m="1" x="145"/>
        <item m="1" x="583"/>
        <item m="1" x="189"/>
        <item m="1" x="269"/>
        <item m="1" x="292"/>
        <item m="1" x="787"/>
        <item m="1" x="615"/>
        <item m="1" x="216"/>
        <item m="1" x="238"/>
        <item m="1" x="252"/>
        <item m="1" x="270"/>
        <item m="1" x="360"/>
        <item m="1" x="838"/>
        <item m="1" x="254"/>
        <item m="1" x="734"/>
        <item m="1" x="828"/>
        <item m="1" x="399"/>
        <item m="1" x="409"/>
        <item m="1" x="880"/>
        <item m="1" x="656"/>
        <item m="1" x="220"/>
        <item m="1" x="680"/>
        <item m="1" x="243"/>
        <item m="1" x="716"/>
        <item m="1" x="738"/>
        <item m="1" x="754"/>
        <item m="1" x="790"/>
        <item m="1" x="383"/>
        <item m="1" x="867"/>
        <item m="1" x="410"/>
        <item m="1" x="8"/>
        <item m="1" x="719"/>
        <item m="1" x="740"/>
        <item m="1" x="401"/>
        <item m="1" x="883"/>
        <item m="1" x="402"/>
        <item m="1" x="414"/>
        <item m="1" x="352"/>
        <item m="1" x="425"/>
        <item m="1" x="433"/>
        <item m="1" x="466"/>
        <item m="1" x="52"/>
        <item m="1" x="480"/>
        <item m="1" x="460"/>
        <item m="1" x="494"/>
        <item m="1" x="152"/>
        <item m="1" x="462"/>
        <item m="1" x="47"/>
        <item m="1" x="473"/>
        <item m="1" x="75"/>
        <item m="1" x="520"/>
        <item m="1" x="126"/>
        <item m="1" x="163"/>
        <item m="1" x="643"/>
        <item m="1" x="487"/>
        <item m="1" x="65"/>
        <item m="1" x="105"/>
        <item m="1" x="138"/>
        <item m="1" x="578"/>
        <item m="1" x="211"/>
        <item m="1" x="706"/>
        <item m="1" x="83"/>
        <item m="1" x="523"/>
        <item m="1" x="533"/>
        <item m="1" x="140"/>
        <item m="1" x="580"/>
        <item m="1" x="199"/>
        <item m="1" x="645"/>
        <item m="1" x="687"/>
        <item m="1" x="109"/>
        <item m="1" x="544"/>
        <item m="1" x="561"/>
        <item m="1" x="595"/>
        <item m="1" x="610"/>
        <item m="1" x="648"/>
        <item m="1" x="671"/>
        <item m="1" x="751"/>
        <item m="1" x="305"/>
        <item m="1" x="786"/>
        <item m="1" x="548"/>
        <item m="1" x="567"/>
        <item m="1" x="146"/>
        <item m="1" x="597"/>
        <item m="1" x="174"/>
        <item m="1" x="612"/>
        <item m="1" x="191"/>
        <item m="1" x="236"/>
        <item m="1" x="692"/>
        <item m="1" x="808"/>
        <item m="1" x="177"/>
        <item m="1" x="218"/>
        <item m="1" x="674"/>
        <item m="1" x="239"/>
        <item m="1" x="810"/>
        <item m="1" x="361"/>
        <item m="1" x="827"/>
        <item m="1" x="205"/>
        <item m="1" x="788"/>
        <item m="1" x="852"/>
        <item m="1" x="400"/>
        <item m="1" x="681"/>
        <item m="1" x="259"/>
        <item m="1" x="275"/>
        <item m="1" x="757"/>
        <item m="1" x="343"/>
        <item m="1" x="829"/>
        <item m="1" x="411"/>
        <item m="1" x="881"/>
        <item m="1" x="720"/>
        <item m="1" x="282"/>
        <item m="1" x="760"/>
        <item m="1" x="775"/>
        <item m="1" x="366"/>
        <item m="1" x="413"/>
        <item m="1" x="430"/>
        <item m="1" x="445"/>
        <item m="1" x="333"/>
        <item m="1" x="819"/>
        <item m="1" x="835"/>
        <item m="1" x="887"/>
        <item m="1" x="427"/>
        <item m="1" x="440"/>
        <item m="1" x="467"/>
        <item m="1" x="53"/>
        <item m="1" x="481"/>
        <item m="1" x="442"/>
        <item m="1" x="30"/>
        <item m="1" x="40"/>
        <item m="1" x="461"/>
        <item m="1" x="472"/>
        <item m="1" x="56"/>
        <item m="1" x="576"/>
        <item m="1" x="588"/>
        <item m="1" x="502"/>
        <item m="1" x="104"/>
        <item m="1" x="117"/>
        <item m="1" x="543"/>
        <item m="1" x="606"/>
        <item m="1" x="67"/>
        <item m="1" x="77"/>
        <item m="1" x="509"/>
        <item m="1" x="557"/>
        <item m="1" x="592"/>
        <item m="1" x="628"/>
        <item m="1" x="108"/>
        <item m="1" x="118"/>
        <item m="1" x="559"/>
        <item m="1" x="142"/>
        <item m="1" x="582"/>
        <item m="1" x="609"/>
        <item m="1" x="632"/>
        <item m="1" x="670"/>
        <item m="1" x="688"/>
        <item m="1" x="268"/>
        <item m="1" x="112"/>
        <item m="1" x="565"/>
        <item m="1" x="172"/>
        <item m="1" x="200"/>
        <item m="1" x="214"/>
        <item m="1" x="235"/>
        <item m="1" x="731"/>
        <item m="1" x="752"/>
        <item m="1" x="147"/>
        <item m="1" x="193"/>
        <item m="1" x="733"/>
        <item m="1" x="770"/>
        <item m="1" x="341"/>
        <item m="1" x="809"/>
        <item m="1" x="618"/>
        <item m="1" x="308"/>
        <item m="1" x="811"/>
        <item m="1" x="657"/>
        <item m="1" x="772"/>
        <item m="1" x="323"/>
        <item m="1" x="813"/>
        <item m="1" x="840"/>
        <item m="1" x="659"/>
        <item m="1" x="261"/>
        <item m="1" x="279"/>
        <item m="1" x="300"/>
        <item m="1" x="326"/>
        <item m="1" x="364"/>
        <item m="1" x="830"/>
        <item m="1" x="375"/>
        <item m="1" x="412"/>
        <item m="1" x="724"/>
        <item m="1" x="302"/>
        <item m="1" x="328"/>
        <item m="1" x="347"/>
        <item m="1" x="386"/>
        <item m="1" x="403"/>
        <item m="1" x="869"/>
        <item m="1" x="438"/>
        <item m="1" x="444"/>
        <item m="1" x="747"/>
        <item m="1" x="316"/>
        <item m="1" x="369"/>
        <item m="1" x="832"/>
        <item m="1" x="416"/>
        <item m="1" x="886"/>
        <item m="1" x="21"/>
        <item m="1" x="446"/>
        <item m="1" x="370"/>
        <item m="1" x="456"/>
        <item m="1" x="54"/>
        <item m="1" x="59"/>
        <item m="1" x="492"/>
        <item m="1" x="41"/>
        <item m="1" x="57"/>
        <item m="1" x="92"/>
        <item m="1" x="521"/>
        <item m="1" x="542"/>
        <item m="1" x="554"/>
        <item m="1" x="577"/>
        <item m="1" x="589"/>
        <item m="1" x="164"/>
        <item m="1" x="66"/>
        <item m="1" x="495"/>
        <item m="1" x="76"/>
        <item m="1" x="503"/>
        <item m="1" x="530"/>
        <item m="1" x="579"/>
        <item m="1" x="626"/>
        <item m="1" x="505"/>
        <item m="1" x="94"/>
        <item m="1" x="141"/>
        <item m="1" x="608"/>
        <item m="1" x="232"/>
        <item m="1" x="545"/>
        <item m="1" x="212"/>
        <item m="1" x="730"/>
        <item m="1" x="549"/>
        <item m="1" x="613"/>
        <item m="1" x="192"/>
        <item m="1" x="634"/>
        <item m="1" x="237"/>
        <item m="1" x="708"/>
        <item m="1" x="294"/>
        <item m="1" x="769"/>
        <item m="1" x="635"/>
        <item m="1" x="203"/>
        <item m="1" x="651"/>
        <item m="1" x="675"/>
        <item m="1" x="253"/>
        <item m="1" x="159"/>
        <item m="1" x="653"/>
        <item m="1" x="678"/>
        <item m="1" x="735"/>
        <item m="1" x="789"/>
        <item m="1" x="342"/>
        <item m="1" x="839"/>
        <item m="1" x="621"/>
        <item m="1" x="637"/>
        <item m="1" x="224"/>
        <item m="1" x="260"/>
        <item m="1" x="276"/>
        <item m="1" x="384"/>
        <item m="1" x="868"/>
        <item m="1" x="882"/>
        <item m="1" x="227"/>
        <item m="1" x="721"/>
        <item m="1" x="793"/>
        <item m="1" x="367"/>
        <item m="1" x="843"/>
        <item m="1" x="9"/>
        <item m="1" x="745"/>
        <item m="1" x="776"/>
        <item m="1" x="349"/>
        <item m="1" x="870"/>
        <item m="1" x="432"/>
        <item m="1" x="439"/>
        <item m="1" x="24"/>
        <item m="1" x="353"/>
        <item m="1" x="836"/>
        <item m="1" x="857"/>
        <item m="1" x="428"/>
        <item m="1" x="23"/>
        <item m="1" x="455"/>
        <item m="1" x="779"/>
        <item m="1" x="335"/>
        <item m="1" x="848"/>
        <item m="1" x="407"/>
        <item m="1" x="449"/>
        <item m="1" x="458"/>
        <item m="1" x="60"/>
        <item m="1" x="474"/>
        <item m="1" x="80"/>
        <item m="1" x="529"/>
        <item m="1" x="555"/>
        <item m="1" x="137"/>
        <item m="1" x="590"/>
        <item m="1" x="165"/>
        <item m="1" x="475"/>
        <item m="1" x="504"/>
        <item m="1" x="82"/>
        <item m="1" x="106"/>
        <item m="1" x="184"/>
        <item m="1" x="629"/>
        <item m="1" x="86"/>
        <item m="1" x="96"/>
        <item m="1" x="143"/>
        <item m="1" x="593"/>
        <item m="1" x="187"/>
        <item m="1" x="647"/>
        <item m="1" x="233"/>
        <item m="1" x="689"/>
        <item m="1" x="88"/>
        <item m="1" x="99"/>
        <item m="1" x="524"/>
        <item m="1" x="113"/>
        <item m="1" x="566"/>
        <item m="1" x="201"/>
        <item m="1" x="690"/>
        <item m="1" x="251"/>
        <item m="1" x="707"/>
        <item m="1" x="732"/>
        <item m="1" x="293"/>
        <item m="1" x="526"/>
        <item m="1" x="114"/>
        <item m="1" x="538"/>
        <item m="1" x="120"/>
        <item m="1" x="148"/>
        <item m="1" x="156"/>
        <item m="1" x="711"/>
        <item m="1" x="271"/>
        <item m="1" x="295"/>
        <item m="1" x="306"/>
        <item m="1" x="771"/>
        <item m="1" x="131"/>
        <item m="1" x="619"/>
        <item m="1" x="677"/>
        <item m="1" x="694"/>
        <item m="1" x="255"/>
        <item m="1" x="273"/>
        <item m="1" x="812"/>
        <item m="1" x="362"/>
        <item m="1" x="161"/>
        <item m="1" x="181"/>
        <item m="1" x="195"/>
        <item m="1" x="207"/>
        <item m="1" x="221"/>
        <item m="1" x="696"/>
        <item m="1" x="324"/>
        <item m="1" x="791"/>
        <item m="1" x="841"/>
        <item m="1" x="624"/>
        <item m="1" x="660"/>
        <item m="1" x="682"/>
        <item m="1" x="246"/>
        <item m="1" x="697"/>
        <item m="1" x="280"/>
        <item m="1" x="741"/>
        <item m="1" x="758"/>
        <item m="1" x="344"/>
        <item m="1" x="814"/>
        <item m="1" x="376"/>
        <item m="1" x="853"/>
        <item m="1" x="884"/>
        <item m="1" x="661"/>
        <item m="1" x="700"/>
        <item m="1" x="725"/>
        <item m="1" x="743"/>
        <item m="1" x="762"/>
        <item m="1" x="329"/>
        <item m="1" x="348"/>
        <item m="1" x="815"/>
        <item m="1" x="378"/>
        <item m="1" x="885"/>
        <item m="1" x="10"/>
        <item m="1" x="431"/>
        <item m="1" x="702"/>
        <item m="1" x="287"/>
        <item m="1" x="777"/>
        <item m="1" x="332"/>
        <item m="1" x="833"/>
        <item m="1" x="379"/>
        <item m="1" x="856"/>
        <item m="1" x="404"/>
        <item m="1" x="426"/>
        <item m="1" x="22"/>
        <item m="1" x="765"/>
        <item m="1" x="799"/>
        <item m="1" x="847"/>
        <item m="1" x="859"/>
        <item m="1" x="874"/>
        <item m="1" x="12"/>
        <item m="1" x="448"/>
        <item m="1" x="457"/>
        <item m="1" x="780"/>
        <item m="1" x="336"/>
        <item m="1" x="823"/>
        <item m="1" x="861"/>
        <item m="1" x="420"/>
        <item m="1" x="450"/>
        <item m="1" x="48"/>
        <item m="1" x="488"/>
        <item m="1" x="81"/>
        <item m="1" x="522"/>
        <item m="1" x="531"/>
        <item m="1" x="556"/>
        <item m="1" x="139"/>
        <item m="1" x="591"/>
        <item m="1" x="627"/>
        <item m="1" x="49"/>
        <item m="1" x="69"/>
        <item m="1" x="84"/>
        <item m="1" x="95"/>
        <item m="1" x="581"/>
        <item m="1" x="185"/>
        <item m="1" x="631"/>
        <item m="1" x="490"/>
        <item m="1" x="512"/>
        <item m="1" x="154"/>
        <item m="1" x="611"/>
        <item m="1" x="213"/>
        <item m="1" x="234"/>
        <item m="1" x="515"/>
        <item m="1" x="215"/>
        <item m="1" x="709"/>
        <item m="1" x="539"/>
        <item m="1" x="551"/>
        <item m="1" x="570"/>
        <item m="1" x="616"/>
        <item m="1" x="204"/>
        <item m="1" x="652"/>
        <item m="1" x="219"/>
        <item m="1" x="240"/>
        <item m="1" x="296"/>
        <item m="1" x="307"/>
        <item m="1" x="322"/>
        <item m="1" x="571"/>
        <item m="1" x="160"/>
        <item m="1" x="601"/>
        <item m="1" x="180"/>
        <item m="1" x="654"/>
        <item m="1" x="679"/>
        <item m="1" x="274"/>
        <item m="1" x="736"/>
        <item m="1" x="585"/>
        <item m="1" x="622"/>
        <item m="1" x="196"/>
        <item m="1" x="717"/>
        <item m="1" x="298"/>
        <item m="1" x="312"/>
        <item m="1" x="374"/>
        <item m="1" x="228"/>
        <item m="1" x="248"/>
        <item m="1" x="722"/>
        <item m="1" x="283"/>
        <item m="1" x="742"/>
        <item m="1" x="301"/>
        <item m="1" x="794"/>
        <item m="1" x="663"/>
        <item m="1" x="684"/>
        <item m="1" x="314"/>
        <item m="1" x="796"/>
        <item m="1" x="334"/>
        <item m="1" x="354"/>
        <item m="1" x="381"/>
        <item m="1" x="389"/>
        <item m="1" x="858"/>
        <item m="1" x="871"/>
        <item m="1" x="434"/>
        <item m="1" x="447"/>
        <item m="1" x="767"/>
        <item m="1" x="317"/>
        <item m="1" x="800"/>
        <item m="1" x="821"/>
        <item m="1" x="849"/>
        <item m="1" x="391"/>
        <item m="1" x="860"/>
        <item m="1" x="418"/>
        <item m="1" x="468"/>
        <item m="1" x="781"/>
        <item m="1" x="803"/>
        <item m="1" x="837"/>
        <item m="1" x="891"/>
        <item m="1" x="34"/>
        <item m="1" x="55"/>
        <item m="1" x="482"/>
        <item m="1" x="61"/>
        <item m="1" x="72"/>
        <item m="1" x="42"/>
        <item m="1" x="463"/>
        <item m="1" x="476"/>
        <item m="1" x="68"/>
        <item m="1" x="107"/>
        <item m="1" x="558"/>
        <item m="1" x="167"/>
        <item m="1" x="630"/>
        <item m="1" x="489"/>
        <item m="1" x="78"/>
        <item m="1" x="119"/>
        <item m="1" x="560"/>
        <item m="1" x="153"/>
        <item m="1" x="188"/>
        <item m="1" x="497"/>
        <item m="1" x="537"/>
        <item m="1" x="190"/>
        <item m="1" x="649"/>
        <item m="1" x="691"/>
        <item m="1" x="115"/>
        <item m="1" x="598"/>
        <item m="1" x="176"/>
        <item m="1" x="650"/>
        <item m="1" x="672"/>
        <item m="1" x="712"/>
        <item m="1" x="122"/>
        <item m="1" x="158"/>
        <item m="1" x="179"/>
        <item m="1" x="695"/>
        <item m="1" x="256"/>
        <item m="1" x="714"/>
        <item m="1" x="753"/>
        <item m="1" x="309"/>
        <item m="1" x="553"/>
        <item m="1" x="134"/>
        <item m="1" x="572"/>
        <item m="1" x="182"/>
        <item m="1" x="658"/>
        <item m="1" x="222"/>
        <item m="1" x="258"/>
        <item m="1" x="755"/>
        <item m="1" x="310"/>
        <item m="1" x="325"/>
        <item m="1" x="586"/>
        <item m="1" x="225"/>
        <item m="1" x="698"/>
        <item m="1" x="365"/>
        <item m="1" x="842"/>
        <item m="1" x="385"/>
        <item m="1" x="625"/>
        <item m="1" x="640"/>
        <item m="1" x="662"/>
        <item m="1" x="683"/>
        <item m="1" x="726"/>
        <item m="1" x="330"/>
        <item m="1" x="816"/>
        <item m="1" x="368"/>
        <item m="1" x="831"/>
        <item m="1" x="844"/>
        <item m="1" x="387"/>
        <item m="1" x="854"/>
        <item m="1" x="664"/>
        <item m="1" x="685"/>
        <item m="1" x="263"/>
        <item m="1" x="728"/>
        <item m="1" x="748"/>
        <item m="1" x="764"/>
        <item m="1" x="846"/>
        <item m="1" x="417"/>
        <item m="1" x="11"/>
        <item m="1" x="704"/>
        <item m="1" x="749"/>
        <item m="1" x="303"/>
        <item m="1" x="382"/>
        <item m="1" x="406"/>
        <item m="1" x="875"/>
        <item m="1" x="888"/>
        <item m="1" x="13"/>
        <item m="1" x="436"/>
        <item m="1" x="25"/>
        <item m="1" x="318"/>
        <item m="1" x="337"/>
        <item m="1" x="393"/>
        <item m="1" x="43"/>
        <item m="1" x="850"/>
        <item m="1" x="17"/>
        <item m="1" x="28"/>
        <item m="1" x="35"/>
        <item m="1" x="73"/>
        <item m="1" x="464"/>
        <item m="1" x="477"/>
        <item m="1" x="506"/>
        <item m="1" x="85"/>
        <item m="1" x="510"/>
        <item m="1" x="127"/>
        <item m="1" x="168"/>
        <item m="1" x="478"/>
        <item m="1" x="70"/>
        <item m="1" x="513"/>
        <item m="1" x="110"/>
        <item m="1" x="536"/>
        <item m="1" x="546"/>
        <item m="1" x="129"/>
        <item m="1" x="562"/>
        <item m="1" x="101"/>
        <item m="1" x="525"/>
        <item m="1" x="568"/>
        <item m="1" x="614"/>
        <item m="1" x="202"/>
        <item m="1" x="693"/>
        <item m="1" x="710"/>
        <item m="1" x="89"/>
        <item m="1" x="149"/>
        <item m="1" x="617"/>
        <item m="1" x="194"/>
        <item m="1" x="676"/>
        <item m="1" x="272"/>
        <item m="1" x="527"/>
        <item m="1" x="123"/>
        <item m="1" x="133"/>
        <item m="1" x="602"/>
        <item m="1" x="206"/>
        <item m="1" x="737"/>
        <item m="1" x="573"/>
        <item m="1" x="151"/>
        <item m="1" x="638"/>
        <item m="1" x="277"/>
        <item m="1" x="299"/>
        <item m="1" x="792"/>
        <item m="1" x="363"/>
        <item m="1" x="229"/>
        <item m="1" x="723"/>
        <item m="1" x="346"/>
        <item m="1" x="377"/>
        <item m="1" x="642"/>
        <item m="1" x="208"/>
        <item m="1" x="230"/>
        <item m="1" x="286"/>
        <item m="1" x="746"/>
        <item m="1" x="763"/>
        <item m="1" x="315"/>
        <item m="1" x="797"/>
        <item m="1" x="350"/>
        <item m="1" x="415"/>
        <item m="1" x="666"/>
        <item m="1" x="703"/>
        <item m="1" x="288"/>
        <item m="1" x="872"/>
        <item m="1" x="435"/>
        <item m="1" x="265"/>
        <item m="1" x="801"/>
        <item m="1" x="392"/>
        <item m="1" x="876"/>
        <item m="1" x="419"/>
        <item m="1" x="32"/>
        <item m="1" x="750"/>
        <item m="1" x="355"/>
        <item m="1" x="395"/>
        <item m="1" x="862"/>
        <item m="1" x="877"/>
        <item m="1" x="44"/>
        <item m="1" x="469"/>
        <item m="1" x="783"/>
        <item m="1" x="339"/>
        <item m="1" x="804"/>
        <item m="1" x="36"/>
        <item m="1" x="483"/>
        <item m="1" x="493"/>
        <item m="1" x="50"/>
        <item m="1" x="496"/>
        <item m="1" x="79"/>
        <item m="1" x="507"/>
        <item m="1" x="511"/>
        <item m="1" x="97"/>
        <item m="1" x="535"/>
        <item m="1" x="144"/>
        <item m="1" x="594"/>
        <item m="1" x="170"/>
        <item m="1" x="633"/>
        <item m="1" x="51"/>
        <item m="1" x="58"/>
        <item m="1" x="498"/>
        <item m="1" x="514"/>
        <item m="1" x="100"/>
        <item m="1" x="596"/>
        <item m="1" x="173"/>
        <item m="1" x="499"/>
        <item m="1" x="508"/>
        <item m="1" x="550"/>
        <item m="1" x="130"/>
        <item m="1" x="569"/>
        <item m="1" x="217"/>
        <item m="1" x="673"/>
        <item m="1" x="713"/>
        <item m="1" x="91"/>
        <item m="1" x="516"/>
        <item m="1" x="132"/>
        <item m="1" x="600"/>
        <item m="1" x="715"/>
        <item m="1" x="135"/>
        <item m="1" x="620"/>
        <item m="1" x="636"/>
        <item m="1" x="223"/>
        <item m="1" x="244"/>
        <item m="1" x="739"/>
        <item m="1" x="756"/>
        <item m="1" x="311"/>
        <item m="1" x="773"/>
        <item m="1" x="226"/>
        <item m="1" x="247"/>
        <item m="1" x="281"/>
        <item m="1" x="759"/>
        <item m="1" x="327"/>
        <item m="1" x="345"/>
        <item m="1" x="604"/>
        <item m="1" x="198"/>
        <item m="1" x="641"/>
        <item m="1" x="701"/>
        <item m="1" x="727"/>
        <item m="1" x="285"/>
        <item m="1" x="744"/>
        <item m="1" x="845"/>
        <item m="1" x="855"/>
        <item m="1" x="209"/>
        <item m="1" x="665"/>
        <item m="1" x="264"/>
        <item m="1" x="798"/>
        <item m="1" x="818"/>
        <item m="1" x="834"/>
        <item m="1" x="380"/>
        <item m="1" x="388"/>
        <item m="1" x="405"/>
        <item m="1" x="667"/>
        <item m="1" x="766"/>
        <item m="1" x="778"/>
        <item m="1" x="820"/>
        <item m="1" x="390"/>
        <item m="1" x="889"/>
        <item m="1" x="14"/>
        <item m="1" x="266"/>
        <item m="1" x="290"/>
        <item m="1" x="319"/>
        <item m="1" x="338"/>
        <item m="1" x="824"/>
        <item m="1" x="371"/>
        <item m="1" x="394"/>
        <item m="1" x="16"/>
        <item m="1" x="26"/>
        <item m="1" x="33"/>
        <item m="1" x="768"/>
        <item m="1" x="357"/>
        <item m="1" x="372"/>
        <item m="1" x="396"/>
        <item m="1" x="864"/>
        <item m="1" x="422"/>
        <item m="1" x="18"/>
        <item m="1" x="451"/>
        <item m="1" x="459"/>
        <item m="1" x="784"/>
        <item m="1" x="806"/>
        <item m="1" x="358"/>
        <item m="1" x="866"/>
        <item m="1" x="423"/>
        <item m="1" x="429"/>
        <item m="1" x="441"/>
        <item m="1" x="37"/>
        <item m="1" x="45"/>
        <item m="1" x="484"/>
        <item m="1" x="62"/>
        <item m="1" x="443"/>
        <item m="1" x="31"/>
        <item m="1" x="479"/>
        <item m="1" x="491"/>
        <item m="1" x="87"/>
        <item m="1" x="98"/>
        <item m="1" x="111"/>
        <item m="1" x="547"/>
        <item m="1" x="563"/>
        <item m="1" x="155"/>
        <item m="1" x="171"/>
        <item m="1" x="465"/>
        <item m="1" x="175"/>
        <item m="1" x="71"/>
        <item m="1" x="500"/>
        <item m="1" x="90"/>
        <item m="1" x="102"/>
        <item m="1" x="121"/>
        <item m="1" x="157"/>
        <item m="1" x="599"/>
        <item m="1" x="178"/>
        <item m="1" x="241"/>
        <item m="1" x="517"/>
        <item m="1" x="540"/>
        <item m="1" x="124"/>
        <item m="1" x="552"/>
        <item m="1" x="150"/>
        <item m="1" x="584"/>
        <item m="1" x="603"/>
        <item m="1" x="655"/>
        <item m="1" x="242"/>
        <item m="1" x="257"/>
        <item m="1" x="297"/>
        <item m="1" x="528"/>
        <item m="1" x="116"/>
        <item m="1" x="574"/>
        <item m="1" x="623"/>
        <item m="1" x="639"/>
        <item m="1" x="245"/>
        <item m="1" x="718"/>
        <item m="1" x="278"/>
        <item m="1" x="313"/>
        <item m="1" x="774"/>
        <item m="1" x="136"/>
        <item m="1" x="575"/>
        <item m="1" x="197"/>
        <item m="1" x="699"/>
        <item m="1" x="262"/>
        <item m="1" x="284"/>
        <item m="1" x="761"/>
        <item m="1" x="795"/>
        <item m="1" x="162"/>
        <item m="1" x="605"/>
        <item m="1" x="331"/>
        <item m="1" x="351"/>
        <item m="1" x="817"/>
        <item m="1" x="289"/>
        <item m="1" x="873"/>
        <item m="1" x="686"/>
        <item m="1" x="802"/>
        <item m="1" x="822"/>
        <item m="1" x="890"/>
        <item m="1" x="15"/>
        <item m="1" x="705"/>
        <item m="1" x="729"/>
        <item m="1" x="291"/>
        <item m="1" x="320"/>
        <item m="1" x="782"/>
        <item m="1" x="356"/>
        <item m="1" x="825"/>
        <item m="1" x="863"/>
        <item m="1" x="408"/>
        <item m="1" x="878"/>
        <item m="1" x="421"/>
        <item m="1" x="27"/>
        <item m="1" x="304"/>
        <item m="1" x="805"/>
        <item m="1" x="826"/>
        <item m="1" x="373"/>
        <item m="1" x="851"/>
        <item m="1" x="397"/>
        <item m="1" x="865"/>
        <item m="1" x="879"/>
        <item m="1" x="19"/>
        <item m="1" x="437"/>
        <item m="1" x="452"/>
        <item m="1" x="470"/>
        <item m="1" x="340"/>
        <item m="1" x="807"/>
        <item m="1" x="359"/>
        <item m="1" x="398"/>
        <item m="1" x="424"/>
        <item m="1" x="892"/>
        <item m="1" x="20"/>
        <item m="1" x="453"/>
        <item m="1" x="38"/>
        <item m="1" x="46"/>
        <item m="1" x="485"/>
        <item m="1" x="63"/>
        <item x="7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14">
        <item x="1"/>
        <item x="8"/>
        <item x="11"/>
        <item x="6"/>
        <item x="3"/>
        <item x="4"/>
        <item x="9"/>
        <item x="5"/>
        <item x="0"/>
        <item x="2"/>
        <item x="10"/>
        <item x="7"/>
        <item x="12"/>
        <item t="default"/>
      </items>
    </pivotField>
    <pivotField showAll="0">
      <items count="14">
        <item x="9"/>
        <item x="6"/>
        <item x="5"/>
        <item x="3"/>
        <item x="4"/>
        <item x="1"/>
        <item x="2"/>
        <item x="11"/>
        <item x="10"/>
        <item x="7"/>
        <item x="8"/>
        <item x="0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4">
        <item x="1"/>
        <item x="0"/>
        <item h="1" x="2"/>
        <item t="default"/>
      </items>
    </pivotField>
    <pivotField multipleItemSelectionAllowed="1" showAll="0"/>
    <pivotField showAll="0"/>
    <pivotField showAll="0"/>
    <pivotField axis="axisCol" showAll="0">
      <items count="4">
        <item n="Drogas" x="1"/>
        <item n="Alcohol" x="0"/>
        <item h="1" x="2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axis="axisRow" multipleItemSelectionAllowe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30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3">
    <field x="21"/>
    <field x="25"/>
    <field x="26"/>
  </colFields>
  <colItems count="15">
    <i>
      <x/>
      <x/>
      <x/>
    </i>
    <i r="2">
      <x v="1"/>
    </i>
    <i t="default" r="1">
      <x/>
    </i>
    <i r="1">
      <x v="1"/>
      <x/>
    </i>
    <i r="2">
      <x v="1"/>
    </i>
    <i t="default" r="1">
      <x v="1"/>
    </i>
    <i t="default">
      <x/>
    </i>
    <i>
      <x v="1"/>
      <x/>
      <x/>
    </i>
    <i r="2">
      <x v="1"/>
    </i>
    <i t="default" r="1">
      <x/>
    </i>
    <i r="1">
      <x v="1"/>
      <x/>
    </i>
    <i r="2">
      <x v="1"/>
    </i>
    <i t="default" r="1">
      <x v="1"/>
    </i>
    <i t="default">
      <x v="1"/>
    </i>
    <i t="grand">
      <x/>
    </i>
  </colItems>
  <dataFields count="1">
    <dataField name="Cuenta de Hubo Arresto" fld="21" subtotal="count" baseField="0" baseItem="0"/>
  </dataFields>
  <chartFormats count="92"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1" format="14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</references>
      </pivotArea>
    </chartFormat>
    <chartFormat chart="1" format="15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</references>
      </pivotArea>
    </chartFormat>
    <chartFormat chart="1" format="16" series="1">
      <pivotArea type="data" outline="0" fieldPosition="0">
        <references count="4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0"/>
          </reference>
        </references>
      </pivotArea>
    </chartFormat>
    <chartFormat chart="1" format="17" series="1">
      <pivotArea type="data" outline="0" fieldPosition="0">
        <references count="4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1"/>
          </reference>
        </references>
      </pivotArea>
    </chartFormat>
    <chartFormat chart="1" format="18" series="1">
      <pivotArea type="data" outline="0" fieldPosition="0">
        <references count="4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0"/>
          </reference>
        </references>
      </pivotArea>
    </chartFormat>
    <chartFormat chart="1" format="19" series="1">
      <pivotArea type="data" outline="0" fieldPosition="0">
        <references count="4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1"/>
          </reference>
        </references>
      </pivotArea>
    </chartFormat>
    <chartFormat chart="1" format="20" series="1">
      <pivotArea type="data" outline="0" fieldPosition="0">
        <references count="4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0"/>
          </reference>
        </references>
      </pivotArea>
    </chartFormat>
    <chartFormat chart="1" format="21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1"/>
          </reference>
        </references>
      </pivotArea>
    </chartFormat>
    <chartFormat chart="1" format="22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2"/>
          </reference>
        </references>
      </pivotArea>
    </chartFormat>
    <chartFormat chart="1" format="23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3"/>
          </reference>
        </references>
      </pivotArea>
    </chartFormat>
    <chartFormat chart="1" format="24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4"/>
          </reference>
        </references>
      </pivotArea>
    </chartFormat>
    <chartFormat chart="1" format="25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5"/>
          </reference>
        </references>
      </pivotArea>
    </chartFormat>
    <chartFormat chart="1" format="26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6"/>
          </reference>
        </references>
      </pivotArea>
    </chartFormat>
    <chartFormat chart="1" format="27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7"/>
          </reference>
        </references>
      </pivotArea>
    </chartFormat>
    <chartFormat chart="1" format="28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8"/>
          </reference>
        </references>
      </pivotArea>
    </chartFormat>
    <chartFormat chart="1" format="29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9"/>
          </reference>
        </references>
      </pivotArea>
    </chartFormat>
    <chartFormat chart="1" format="30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10"/>
          </reference>
        </references>
      </pivotArea>
    </chartFormat>
    <chartFormat chart="1" format="31" series="1">
      <pivotArea type="data" outline="0" fieldPosition="0">
        <references count="4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1"/>
          </reference>
        </references>
      </pivotArea>
    </chartFormat>
    <chartFormat chart="1" format="32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1"/>
          </reference>
        </references>
      </pivotArea>
    </chartFormat>
    <chartFormat chart="1" format="33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2"/>
          </reference>
        </references>
      </pivotArea>
    </chartFormat>
    <chartFormat chart="1" format="34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3"/>
          </reference>
        </references>
      </pivotArea>
    </chartFormat>
    <chartFormat chart="1" format="35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4"/>
          </reference>
        </references>
      </pivotArea>
    </chartFormat>
    <chartFormat chart="1" format="36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5"/>
          </reference>
        </references>
      </pivotArea>
    </chartFormat>
    <chartFormat chart="1" format="37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6"/>
          </reference>
        </references>
      </pivotArea>
    </chartFormat>
    <chartFormat chart="1" format="38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7"/>
          </reference>
        </references>
      </pivotArea>
    </chartFormat>
    <chartFormat chart="1" format="39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8"/>
          </reference>
        </references>
      </pivotArea>
    </chartFormat>
    <chartFormat chart="1" format="40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9"/>
          </reference>
        </references>
      </pivotArea>
    </chartFormat>
    <chartFormat chart="1" format="41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10"/>
          </reference>
        </references>
      </pivotArea>
    </chartFormat>
    <chartFormat chart="1" format="42" series="1">
      <pivotArea type="data" outline="0" fieldPosition="0">
        <references count="4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0"/>
          </reference>
        </references>
      </pivotArea>
    </chartFormat>
    <chartFormat chart="1" format="43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1"/>
          </reference>
        </references>
      </pivotArea>
    </chartFormat>
    <chartFormat chart="1" format="44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2"/>
          </reference>
        </references>
      </pivotArea>
    </chartFormat>
    <chartFormat chart="1" format="45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3"/>
          </reference>
        </references>
      </pivotArea>
    </chartFormat>
    <chartFormat chart="1" format="46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4"/>
          </reference>
        </references>
      </pivotArea>
    </chartFormat>
    <chartFormat chart="1" format="47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5"/>
          </reference>
        </references>
      </pivotArea>
    </chartFormat>
    <chartFormat chart="1" format="48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6"/>
          </reference>
        </references>
      </pivotArea>
    </chartFormat>
    <chartFormat chart="1" format="49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7"/>
          </reference>
        </references>
      </pivotArea>
    </chartFormat>
    <chartFormat chart="1" format="50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8"/>
          </reference>
        </references>
      </pivotArea>
    </chartFormat>
    <chartFormat chart="1" format="51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9"/>
          </reference>
        </references>
      </pivotArea>
    </chartFormat>
    <chartFormat chart="1" format="52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10"/>
          </reference>
        </references>
      </pivotArea>
    </chartFormat>
    <chartFormat chart="1" format="53" series="1">
      <pivotArea type="data" outline="0" fieldPosition="0">
        <references count="4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1"/>
          </reference>
        </references>
      </pivotArea>
    </chartFormat>
    <chartFormat chart="1" format="54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1"/>
          </reference>
        </references>
      </pivotArea>
    </chartFormat>
    <chartFormat chart="1" format="55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2"/>
          </reference>
        </references>
      </pivotArea>
    </chartFormat>
    <chartFormat chart="1" format="56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3"/>
          </reference>
        </references>
      </pivotArea>
    </chartFormat>
    <chartFormat chart="1" format="57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4"/>
          </reference>
        </references>
      </pivotArea>
    </chartFormat>
    <chartFormat chart="1" format="58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5"/>
          </reference>
        </references>
      </pivotArea>
    </chartFormat>
    <chartFormat chart="1" format="59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6"/>
          </reference>
        </references>
      </pivotArea>
    </chartFormat>
    <chartFormat chart="1" format="60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7"/>
          </reference>
        </references>
      </pivotArea>
    </chartFormat>
    <chartFormat chart="1" format="61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8"/>
          </reference>
        </references>
      </pivotArea>
    </chartFormat>
    <chartFormat chart="1" format="62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9"/>
          </reference>
        </references>
      </pivotArea>
    </chartFormat>
    <chartFormat chart="1" format="63">
      <pivotArea type="data" outline="0" fieldPosition="0">
        <references count="5">
          <reference field="4294967294" count="1" selected="0">
            <x v="0"/>
          </reference>
          <reference field="21" count="1" selected="0">
            <x v="0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10"/>
          </reference>
        </references>
      </pivotArea>
    </chartFormat>
    <chartFormat chart="1" format="64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1"/>
          </reference>
        </references>
      </pivotArea>
    </chartFormat>
    <chartFormat chart="1" format="65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2"/>
          </reference>
        </references>
      </pivotArea>
    </chartFormat>
    <chartFormat chart="1" format="66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3"/>
          </reference>
        </references>
      </pivotArea>
    </chartFormat>
    <chartFormat chart="1" format="67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4"/>
          </reference>
        </references>
      </pivotArea>
    </chartFormat>
    <chartFormat chart="1" format="68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5"/>
          </reference>
        </references>
      </pivotArea>
    </chartFormat>
    <chartFormat chart="1" format="69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6"/>
          </reference>
        </references>
      </pivotArea>
    </chartFormat>
    <chartFormat chart="1" format="70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7"/>
          </reference>
        </references>
      </pivotArea>
    </chartFormat>
    <chartFormat chart="1" format="71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8"/>
          </reference>
        </references>
      </pivotArea>
    </chartFormat>
    <chartFormat chart="1" format="72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9"/>
          </reference>
        </references>
      </pivotArea>
    </chartFormat>
    <chartFormat chart="1" format="73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0"/>
          </reference>
          <reference field="30" count="1" selected="0">
            <x v="10"/>
          </reference>
        </references>
      </pivotArea>
    </chartFormat>
    <chartFormat chart="1" format="74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1"/>
          </reference>
        </references>
      </pivotArea>
    </chartFormat>
    <chartFormat chart="1" format="75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2"/>
          </reference>
        </references>
      </pivotArea>
    </chartFormat>
    <chartFormat chart="1" format="76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3"/>
          </reference>
        </references>
      </pivotArea>
    </chartFormat>
    <chartFormat chart="1" format="77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4"/>
          </reference>
        </references>
      </pivotArea>
    </chartFormat>
    <chartFormat chart="1" format="78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5"/>
          </reference>
        </references>
      </pivotArea>
    </chartFormat>
    <chartFormat chart="1" format="79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6"/>
          </reference>
        </references>
      </pivotArea>
    </chartFormat>
    <chartFormat chart="1" format="80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7"/>
          </reference>
        </references>
      </pivotArea>
    </chartFormat>
    <chartFormat chart="1" format="81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8"/>
          </reference>
        </references>
      </pivotArea>
    </chartFormat>
    <chartFormat chart="1" format="82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9"/>
          </reference>
        </references>
      </pivotArea>
    </chartFormat>
    <chartFormat chart="1" format="83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0"/>
          </reference>
          <reference field="26" count="1" selected="0">
            <x v="1"/>
          </reference>
          <reference field="30" count="1" selected="0">
            <x v="10"/>
          </reference>
        </references>
      </pivotArea>
    </chartFormat>
    <chartFormat chart="1" format="84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1"/>
          </reference>
        </references>
      </pivotArea>
    </chartFormat>
    <chartFormat chart="1" format="85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2"/>
          </reference>
        </references>
      </pivotArea>
    </chartFormat>
    <chartFormat chart="1" format="86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3"/>
          </reference>
        </references>
      </pivotArea>
    </chartFormat>
    <chartFormat chart="1" format="87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4"/>
          </reference>
        </references>
      </pivotArea>
    </chartFormat>
    <chartFormat chart="1" format="88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5"/>
          </reference>
        </references>
      </pivotArea>
    </chartFormat>
    <chartFormat chart="1" format="89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6"/>
          </reference>
        </references>
      </pivotArea>
    </chartFormat>
    <chartFormat chart="1" format="90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7"/>
          </reference>
        </references>
      </pivotArea>
    </chartFormat>
    <chartFormat chart="1" format="91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8"/>
          </reference>
        </references>
      </pivotArea>
    </chartFormat>
    <chartFormat chart="1" format="92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9"/>
          </reference>
        </references>
      </pivotArea>
    </chartFormat>
    <chartFormat chart="1" format="93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0"/>
          </reference>
          <reference field="30" count="1" selected="0">
            <x v="10"/>
          </reference>
        </references>
      </pivotArea>
    </chartFormat>
    <chartFormat chart="1" format="94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1"/>
          </reference>
        </references>
      </pivotArea>
    </chartFormat>
    <chartFormat chart="1" format="95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2"/>
          </reference>
        </references>
      </pivotArea>
    </chartFormat>
    <chartFormat chart="1" format="96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3"/>
          </reference>
        </references>
      </pivotArea>
    </chartFormat>
    <chartFormat chart="1" format="97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4"/>
          </reference>
        </references>
      </pivotArea>
    </chartFormat>
    <chartFormat chart="1" format="98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5"/>
          </reference>
        </references>
      </pivotArea>
    </chartFormat>
    <chartFormat chart="1" format="99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6"/>
          </reference>
        </references>
      </pivotArea>
    </chartFormat>
    <chartFormat chart="1" format="100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7"/>
          </reference>
        </references>
      </pivotArea>
    </chartFormat>
    <chartFormat chart="1" format="101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8"/>
          </reference>
        </references>
      </pivotArea>
    </chartFormat>
    <chartFormat chart="1" format="102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9"/>
          </reference>
        </references>
      </pivotArea>
    </chartFormat>
    <chartFormat chart="1" format="103">
      <pivotArea type="data" outline="0" fieldPosition="0">
        <references count="5">
          <reference field="4294967294" count="1" selected="0">
            <x v="0"/>
          </reference>
          <reference field="21" count="1" selected="0">
            <x v="1"/>
          </reference>
          <reference field="25" count="1" selected="0">
            <x v="1"/>
          </reference>
          <reference field="26" count="1" selected="0">
            <x v="1"/>
          </reference>
          <reference field="30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B50AF3-631B-4FA9-8888-420AD14BC127}" name="TablaDinámica18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A19:C26" firstHeaderRow="1" firstDataRow="2" firstDataCol="1"/>
  <pivotFields count="34">
    <pivotField showAll="0"/>
    <pivotField showAll="0"/>
    <pivotField showAll="0"/>
    <pivotField showAll="0"/>
    <pivotField showAll="0">
      <items count="894">
        <item x="0"/>
        <item x="3"/>
        <item x="4"/>
        <item x="1"/>
        <item x="5"/>
        <item x="6"/>
        <item x="2"/>
        <item m="1" x="29"/>
        <item m="1" x="454"/>
        <item m="1" x="39"/>
        <item m="1" x="74"/>
        <item m="1" x="501"/>
        <item m="1" x="518"/>
        <item m="1" x="103"/>
        <item m="1" x="471"/>
        <item m="1" x="486"/>
        <item m="1" x="519"/>
        <item m="1" x="541"/>
        <item m="1" x="125"/>
        <item m="1" x="587"/>
        <item m="1" x="183"/>
        <item m="1" x="64"/>
        <item m="1" x="644"/>
        <item m="1" x="210"/>
        <item m="1" x="249"/>
        <item m="1" x="93"/>
        <item m="1" x="532"/>
        <item m="1" x="166"/>
        <item m="1" x="607"/>
        <item m="1" x="668"/>
        <item m="1" x="231"/>
        <item m="1" x="250"/>
        <item m="1" x="534"/>
        <item m="1" x="128"/>
        <item m="1" x="169"/>
        <item m="1" x="186"/>
        <item m="1" x="646"/>
        <item m="1" x="669"/>
        <item m="1" x="267"/>
        <item m="1" x="321"/>
        <item m="1" x="785"/>
        <item m="1" x="564"/>
        <item m="1" x="145"/>
        <item m="1" x="583"/>
        <item m="1" x="189"/>
        <item m="1" x="269"/>
        <item m="1" x="292"/>
        <item m="1" x="787"/>
        <item m="1" x="615"/>
        <item m="1" x="216"/>
        <item m="1" x="238"/>
        <item m="1" x="252"/>
        <item m="1" x="270"/>
        <item m="1" x="360"/>
        <item m="1" x="838"/>
        <item m="1" x="254"/>
        <item m="1" x="734"/>
        <item m="1" x="828"/>
        <item m="1" x="399"/>
        <item m="1" x="409"/>
        <item m="1" x="880"/>
        <item m="1" x="656"/>
        <item m="1" x="220"/>
        <item m="1" x="680"/>
        <item m="1" x="243"/>
        <item m="1" x="716"/>
        <item m="1" x="738"/>
        <item m="1" x="754"/>
        <item m="1" x="790"/>
        <item m="1" x="383"/>
        <item m="1" x="867"/>
        <item m="1" x="410"/>
        <item m="1" x="8"/>
        <item m="1" x="719"/>
        <item m="1" x="740"/>
        <item m="1" x="401"/>
        <item m="1" x="883"/>
        <item m="1" x="402"/>
        <item m="1" x="414"/>
        <item m="1" x="352"/>
        <item m="1" x="425"/>
        <item m="1" x="433"/>
        <item m="1" x="466"/>
        <item m="1" x="52"/>
        <item m="1" x="480"/>
        <item m="1" x="460"/>
        <item m="1" x="494"/>
        <item m="1" x="152"/>
        <item m="1" x="462"/>
        <item m="1" x="47"/>
        <item m="1" x="473"/>
        <item m="1" x="75"/>
        <item m="1" x="520"/>
        <item m="1" x="126"/>
        <item m="1" x="163"/>
        <item m="1" x="643"/>
        <item m="1" x="487"/>
        <item m="1" x="65"/>
        <item m="1" x="105"/>
        <item m="1" x="138"/>
        <item m="1" x="578"/>
        <item m="1" x="211"/>
        <item m="1" x="706"/>
        <item m="1" x="83"/>
        <item m="1" x="523"/>
        <item m="1" x="533"/>
        <item m="1" x="140"/>
        <item m="1" x="580"/>
        <item m="1" x="199"/>
        <item m="1" x="645"/>
        <item m="1" x="687"/>
        <item m="1" x="109"/>
        <item m="1" x="544"/>
        <item m="1" x="561"/>
        <item m="1" x="595"/>
        <item m="1" x="610"/>
        <item m="1" x="648"/>
        <item m="1" x="671"/>
        <item m="1" x="751"/>
        <item m="1" x="305"/>
        <item m="1" x="786"/>
        <item m="1" x="548"/>
        <item m="1" x="567"/>
        <item m="1" x="146"/>
        <item m="1" x="597"/>
        <item m="1" x="174"/>
        <item m="1" x="612"/>
        <item m="1" x="191"/>
        <item m="1" x="236"/>
        <item m="1" x="692"/>
        <item m="1" x="808"/>
        <item m="1" x="177"/>
        <item m="1" x="218"/>
        <item m="1" x="674"/>
        <item m="1" x="239"/>
        <item m="1" x="810"/>
        <item m="1" x="361"/>
        <item m="1" x="827"/>
        <item m="1" x="205"/>
        <item m="1" x="788"/>
        <item m="1" x="852"/>
        <item m="1" x="400"/>
        <item m="1" x="681"/>
        <item m="1" x="259"/>
        <item m="1" x="275"/>
        <item m="1" x="757"/>
        <item m="1" x="343"/>
        <item m="1" x="829"/>
        <item m="1" x="411"/>
        <item m="1" x="881"/>
        <item m="1" x="720"/>
        <item m="1" x="282"/>
        <item m="1" x="760"/>
        <item m="1" x="775"/>
        <item m="1" x="366"/>
        <item m="1" x="413"/>
        <item m="1" x="430"/>
        <item m="1" x="445"/>
        <item m="1" x="333"/>
        <item m="1" x="819"/>
        <item m="1" x="835"/>
        <item m="1" x="887"/>
        <item m="1" x="427"/>
        <item m="1" x="440"/>
        <item m="1" x="467"/>
        <item m="1" x="53"/>
        <item m="1" x="481"/>
        <item m="1" x="442"/>
        <item m="1" x="30"/>
        <item m="1" x="40"/>
        <item m="1" x="461"/>
        <item m="1" x="472"/>
        <item m="1" x="56"/>
        <item m="1" x="576"/>
        <item m="1" x="588"/>
        <item m="1" x="502"/>
        <item m="1" x="104"/>
        <item m="1" x="117"/>
        <item m="1" x="543"/>
        <item m="1" x="606"/>
        <item m="1" x="67"/>
        <item m="1" x="77"/>
        <item m="1" x="509"/>
        <item m="1" x="557"/>
        <item m="1" x="592"/>
        <item m="1" x="628"/>
        <item m="1" x="108"/>
        <item m="1" x="118"/>
        <item m="1" x="559"/>
        <item m="1" x="142"/>
        <item m="1" x="582"/>
        <item m="1" x="609"/>
        <item m="1" x="632"/>
        <item m="1" x="670"/>
        <item m="1" x="688"/>
        <item m="1" x="268"/>
        <item m="1" x="112"/>
        <item m="1" x="565"/>
        <item m="1" x="172"/>
        <item m="1" x="200"/>
        <item m="1" x="214"/>
        <item m="1" x="235"/>
        <item m="1" x="731"/>
        <item m="1" x="752"/>
        <item m="1" x="147"/>
        <item m="1" x="193"/>
        <item m="1" x="733"/>
        <item m="1" x="770"/>
        <item m="1" x="341"/>
        <item m="1" x="809"/>
        <item m="1" x="618"/>
        <item m="1" x="308"/>
        <item m="1" x="811"/>
        <item m="1" x="657"/>
        <item m="1" x="772"/>
        <item m="1" x="323"/>
        <item m="1" x="813"/>
        <item m="1" x="840"/>
        <item m="1" x="659"/>
        <item m="1" x="261"/>
        <item m="1" x="279"/>
        <item m="1" x="300"/>
        <item m="1" x="326"/>
        <item m="1" x="364"/>
        <item m="1" x="830"/>
        <item m="1" x="375"/>
        <item m="1" x="412"/>
        <item m="1" x="724"/>
        <item m="1" x="302"/>
        <item m="1" x="328"/>
        <item m="1" x="347"/>
        <item m="1" x="386"/>
        <item m="1" x="403"/>
        <item m="1" x="869"/>
        <item m="1" x="438"/>
        <item m="1" x="444"/>
        <item m="1" x="747"/>
        <item m="1" x="316"/>
        <item m="1" x="369"/>
        <item m="1" x="832"/>
        <item m="1" x="416"/>
        <item m="1" x="886"/>
        <item m="1" x="21"/>
        <item m="1" x="446"/>
        <item m="1" x="370"/>
        <item m="1" x="456"/>
        <item m="1" x="54"/>
        <item m="1" x="59"/>
        <item m="1" x="492"/>
        <item m="1" x="41"/>
        <item m="1" x="57"/>
        <item m="1" x="92"/>
        <item m="1" x="521"/>
        <item m="1" x="542"/>
        <item m="1" x="554"/>
        <item m="1" x="577"/>
        <item m="1" x="589"/>
        <item m="1" x="164"/>
        <item m="1" x="66"/>
        <item m="1" x="495"/>
        <item m="1" x="76"/>
        <item m="1" x="503"/>
        <item m="1" x="530"/>
        <item m="1" x="579"/>
        <item m="1" x="626"/>
        <item m="1" x="505"/>
        <item m="1" x="94"/>
        <item m="1" x="141"/>
        <item m="1" x="608"/>
        <item m="1" x="232"/>
        <item m="1" x="545"/>
        <item m="1" x="212"/>
        <item m="1" x="730"/>
        <item m="1" x="549"/>
        <item m="1" x="613"/>
        <item m="1" x="192"/>
        <item m="1" x="634"/>
        <item m="1" x="237"/>
        <item m="1" x="708"/>
        <item m="1" x="294"/>
        <item m="1" x="769"/>
        <item m="1" x="635"/>
        <item m="1" x="203"/>
        <item m="1" x="651"/>
        <item m="1" x="675"/>
        <item m="1" x="253"/>
        <item m="1" x="159"/>
        <item m="1" x="653"/>
        <item m="1" x="678"/>
        <item m="1" x="735"/>
        <item m="1" x="789"/>
        <item m="1" x="342"/>
        <item m="1" x="839"/>
        <item m="1" x="621"/>
        <item m="1" x="637"/>
        <item m="1" x="224"/>
        <item m="1" x="260"/>
        <item m="1" x="276"/>
        <item m="1" x="384"/>
        <item m="1" x="868"/>
        <item m="1" x="882"/>
        <item m="1" x="227"/>
        <item m="1" x="721"/>
        <item m="1" x="793"/>
        <item m="1" x="367"/>
        <item m="1" x="843"/>
        <item m="1" x="9"/>
        <item m="1" x="745"/>
        <item m="1" x="776"/>
        <item m="1" x="349"/>
        <item m="1" x="870"/>
        <item m="1" x="432"/>
        <item m="1" x="439"/>
        <item m="1" x="24"/>
        <item m="1" x="353"/>
        <item m="1" x="836"/>
        <item m="1" x="857"/>
        <item m="1" x="428"/>
        <item m="1" x="23"/>
        <item m="1" x="455"/>
        <item m="1" x="779"/>
        <item m="1" x="335"/>
        <item m="1" x="848"/>
        <item m="1" x="407"/>
        <item m="1" x="449"/>
        <item m="1" x="458"/>
        <item m="1" x="60"/>
        <item m="1" x="474"/>
        <item m="1" x="80"/>
        <item m="1" x="529"/>
        <item m="1" x="555"/>
        <item m="1" x="137"/>
        <item m="1" x="590"/>
        <item m="1" x="165"/>
        <item m="1" x="475"/>
        <item m="1" x="504"/>
        <item m="1" x="82"/>
        <item m="1" x="106"/>
        <item m="1" x="184"/>
        <item m="1" x="629"/>
        <item m="1" x="86"/>
        <item m="1" x="96"/>
        <item m="1" x="143"/>
        <item m="1" x="593"/>
        <item m="1" x="187"/>
        <item m="1" x="647"/>
        <item m="1" x="233"/>
        <item m="1" x="689"/>
        <item m="1" x="88"/>
        <item m="1" x="99"/>
        <item m="1" x="524"/>
        <item m="1" x="113"/>
        <item m="1" x="566"/>
        <item m="1" x="201"/>
        <item m="1" x="690"/>
        <item m="1" x="251"/>
        <item m="1" x="707"/>
        <item m="1" x="732"/>
        <item m="1" x="293"/>
        <item m="1" x="526"/>
        <item m="1" x="114"/>
        <item m="1" x="538"/>
        <item m="1" x="120"/>
        <item m="1" x="148"/>
        <item m="1" x="156"/>
        <item m="1" x="711"/>
        <item m="1" x="271"/>
        <item m="1" x="295"/>
        <item m="1" x="306"/>
        <item m="1" x="771"/>
        <item m="1" x="131"/>
        <item m="1" x="619"/>
        <item m="1" x="677"/>
        <item m="1" x="694"/>
        <item m="1" x="255"/>
        <item m="1" x="273"/>
        <item m="1" x="812"/>
        <item m="1" x="362"/>
        <item m="1" x="161"/>
        <item m="1" x="181"/>
        <item m="1" x="195"/>
        <item m="1" x="207"/>
        <item m="1" x="221"/>
        <item m="1" x="696"/>
        <item m="1" x="324"/>
        <item m="1" x="791"/>
        <item m="1" x="841"/>
        <item m="1" x="624"/>
        <item m="1" x="660"/>
        <item m="1" x="682"/>
        <item m="1" x="246"/>
        <item m="1" x="697"/>
        <item m="1" x="280"/>
        <item m="1" x="741"/>
        <item m="1" x="758"/>
        <item m="1" x="344"/>
        <item m="1" x="814"/>
        <item m="1" x="376"/>
        <item m="1" x="853"/>
        <item m="1" x="884"/>
        <item m="1" x="661"/>
        <item m="1" x="700"/>
        <item m="1" x="725"/>
        <item m="1" x="743"/>
        <item m="1" x="762"/>
        <item m="1" x="329"/>
        <item m="1" x="348"/>
        <item m="1" x="815"/>
        <item m="1" x="378"/>
        <item m="1" x="885"/>
        <item m="1" x="10"/>
        <item m="1" x="431"/>
        <item m="1" x="702"/>
        <item m="1" x="287"/>
        <item m="1" x="777"/>
        <item m="1" x="332"/>
        <item m="1" x="833"/>
        <item m="1" x="379"/>
        <item m="1" x="856"/>
        <item m="1" x="404"/>
        <item m="1" x="426"/>
        <item m="1" x="22"/>
        <item m="1" x="765"/>
        <item m="1" x="799"/>
        <item m="1" x="847"/>
        <item m="1" x="859"/>
        <item m="1" x="874"/>
        <item m="1" x="12"/>
        <item m="1" x="448"/>
        <item m="1" x="457"/>
        <item m="1" x="780"/>
        <item m="1" x="336"/>
        <item m="1" x="823"/>
        <item m="1" x="861"/>
        <item m="1" x="420"/>
        <item m="1" x="450"/>
        <item m="1" x="48"/>
        <item m="1" x="488"/>
        <item m="1" x="81"/>
        <item m="1" x="522"/>
        <item m="1" x="531"/>
        <item m="1" x="556"/>
        <item m="1" x="139"/>
        <item m="1" x="591"/>
        <item m="1" x="627"/>
        <item m="1" x="49"/>
        <item m="1" x="69"/>
        <item m="1" x="84"/>
        <item m="1" x="95"/>
        <item m="1" x="581"/>
        <item m="1" x="185"/>
        <item m="1" x="631"/>
        <item m="1" x="490"/>
        <item m="1" x="512"/>
        <item m="1" x="154"/>
        <item m="1" x="611"/>
        <item m="1" x="213"/>
        <item m="1" x="234"/>
        <item m="1" x="515"/>
        <item m="1" x="215"/>
        <item m="1" x="709"/>
        <item m="1" x="539"/>
        <item m="1" x="551"/>
        <item m="1" x="570"/>
        <item m="1" x="616"/>
        <item m="1" x="204"/>
        <item m="1" x="652"/>
        <item m="1" x="219"/>
        <item m="1" x="240"/>
        <item m="1" x="296"/>
        <item m="1" x="307"/>
        <item m="1" x="322"/>
        <item m="1" x="571"/>
        <item m="1" x="160"/>
        <item m="1" x="601"/>
        <item m="1" x="180"/>
        <item m="1" x="654"/>
        <item m="1" x="679"/>
        <item m="1" x="274"/>
        <item m="1" x="736"/>
        <item m="1" x="585"/>
        <item m="1" x="622"/>
        <item m="1" x="196"/>
        <item m="1" x="717"/>
        <item m="1" x="298"/>
        <item m="1" x="312"/>
        <item m="1" x="374"/>
        <item m="1" x="228"/>
        <item m="1" x="248"/>
        <item m="1" x="722"/>
        <item m="1" x="283"/>
        <item m="1" x="742"/>
        <item m="1" x="301"/>
        <item m="1" x="794"/>
        <item m="1" x="663"/>
        <item m="1" x="684"/>
        <item m="1" x="314"/>
        <item m="1" x="796"/>
        <item m="1" x="334"/>
        <item m="1" x="354"/>
        <item m="1" x="381"/>
        <item m="1" x="389"/>
        <item m="1" x="858"/>
        <item m="1" x="871"/>
        <item m="1" x="434"/>
        <item m="1" x="447"/>
        <item m="1" x="767"/>
        <item m="1" x="317"/>
        <item m="1" x="800"/>
        <item m="1" x="821"/>
        <item m="1" x="849"/>
        <item m="1" x="391"/>
        <item m="1" x="860"/>
        <item m="1" x="418"/>
        <item m="1" x="468"/>
        <item m="1" x="781"/>
        <item m="1" x="803"/>
        <item m="1" x="837"/>
        <item m="1" x="891"/>
        <item m="1" x="34"/>
        <item m="1" x="55"/>
        <item m="1" x="482"/>
        <item m="1" x="61"/>
        <item m="1" x="72"/>
        <item m="1" x="42"/>
        <item m="1" x="463"/>
        <item m="1" x="476"/>
        <item m="1" x="68"/>
        <item m="1" x="107"/>
        <item m="1" x="558"/>
        <item m="1" x="167"/>
        <item m="1" x="630"/>
        <item m="1" x="489"/>
        <item m="1" x="78"/>
        <item m="1" x="119"/>
        <item m="1" x="560"/>
        <item m="1" x="153"/>
        <item m="1" x="188"/>
        <item m="1" x="497"/>
        <item m="1" x="537"/>
        <item m="1" x="190"/>
        <item m="1" x="649"/>
        <item m="1" x="691"/>
        <item m="1" x="115"/>
        <item m="1" x="598"/>
        <item m="1" x="176"/>
        <item m="1" x="650"/>
        <item m="1" x="672"/>
        <item m="1" x="712"/>
        <item m="1" x="122"/>
        <item m="1" x="158"/>
        <item m="1" x="179"/>
        <item m="1" x="695"/>
        <item m="1" x="256"/>
        <item m="1" x="714"/>
        <item m="1" x="753"/>
        <item m="1" x="309"/>
        <item m="1" x="553"/>
        <item m="1" x="134"/>
        <item m="1" x="572"/>
        <item m="1" x="182"/>
        <item m="1" x="658"/>
        <item m="1" x="222"/>
        <item m="1" x="258"/>
        <item m="1" x="755"/>
        <item m="1" x="310"/>
        <item m="1" x="325"/>
        <item m="1" x="586"/>
        <item m="1" x="225"/>
        <item m="1" x="698"/>
        <item m="1" x="365"/>
        <item m="1" x="842"/>
        <item m="1" x="385"/>
        <item m="1" x="625"/>
        <item m="1" x="640"/>
        <item m="1" x="662"/>
        <item m="1" x="683"/>
        <item m="1" x="726"/>
        <item m="1" x="330"/>
        <item m="1" x="816"/>
        <item m="1" x="368"/>
        <item m="1" x="831"/>
        <item m="1" x="844"/>
        <item m="1" x="387"/>
        <item m="1" x="854"/>
        <item m="1" x="664"/>
        <item m="1" x="685"/>
        <item m="1" x="263"/>
        <item m="1" x="728"/>
        <item m="1" x="748"/>
        <item m="1" x="764"/>
        <item m="1" x="846"/>
        <item m="1" x="417"/>
        <item m="1" x="11"/>
        <item m="1" x="704"/>
        <item m="1" x="749"/>
        <item m="1" x="303"/>
        <item m="1" x="382"/>
        <item m="1" x="406"/>
        <item m="1" x="875"/>
        <item m="1" x="888"/>
        <item m="1" x="13"/>
        <item m="1" x="436"/>
        <item m="1" x="25"/>
        <item m="1" x="318"/>
        <item m="1" x="337"/>
        <item m="1" x="393"/>
        <item m="1" x="43"/>
        <item m="1" x="850"/>
        <item m="1" x="17"/>
        <item m="1" x="28"/>
        <item m="1" x="35"/>
        <item m="1" x="73"/>
        <item m="1" x="464"/>
        <item m="1" x="477"/>
        <item m="1" x="506"/>
        <item m="1" x="85"/>
        <item m="1" x="510"/>
        <item m="1" x="127"/>
        <item m="1" x="168"/>
        <item m="1" x="478"/>
        <item m="1" x="70"/>
        <item m="1" x="513"/>
        <item m="1" x="110"/>
        <item m="1" x="536"/>
        <item m="1" x="546"/>
        <item m="1" x="129"/>
        <item m="1" x="562"/>
        <item m="1" x="101"/>
        <item m="1" x="525"/>
        <item m="1" x="568"/>
        <item m="1" x="614"/>
        <item m="1" x="202"/>
        <item m="1" x="693"/>
        <item m="1" x="710"/>
        <item m="1" x="89"/>
        <item m="1" x="149"/>
        <item m="1" x="617"/>
        <item m="1" x="194"/>
        <item m="1" x="676"/>
        <item m="1" x="272"/>
        <item m="1" x="527"/>
        <item m="1" x="123"/>
        <item m="1" x="133"/>
        <item m="1" x="602"/>
        <item m="1" x="206"/>
        <item m="1" x="737"/>
        <item m="1" x="573"/>
        <item m="1" x="151"/>
        <item m="1" x="638"/>
        <item m="1" x="277"/>
        <item m="1" x="299"/>
        <item m="1" x="792"/>
        <item m="1" x="363"/>
        <item m="1" x="229"/>
        <item m="1" x="723"/>
        <item m="1" x="346"/>
        <item m="1" x="377"/>
        <item m="1" x="642"/>
        <item m="1" x="208"/>
        <item m="1" x="230"/>
        <item m="1" x="286"/>
        <item m="1" x="746"/>
        <item m="1" x="763"/>
        <item m="1" x="315"/>
        <item m="1" x="797"/>
        <item m="1" x="350"/>
        <item m="1" x="415"/>
        <item m="1" x="666"/>
        <item m="1" x="703"/>
        <item m="1" x="288"/>
        <item m="1" x="872"/>
        <item m="1" x="435"/>
        <item m="1" x="265"/>
        <item m="1" x="801"/>
        <item m="1" x="392"/>
        <item m="1" x="876"/>
        <item m="1" x="419"/>
        <item m="1" x="32"/>
        <item m="1" x="750"/>
        <item m="1" x="355"/>
        <item m="1" x="395"/>
        <item m="1" x="862"/>
        <item m="1" x="877"/>
        <item m="1" x="44"/>
        <item m="1" x="469"/>
        <item m="1" x="783"/>
        <item m="1" x="339"/>
        <item m="1" x="804"/>
        <item m="1" x="36"/>
        <item m="1" x="483"/>
        <item m="1" x="493"/>
        <item m="1" x="50"/>
        <item m="1" x="496"/>
        <item m="1" x="79"/>
        <item m="1" x="507"/>
        <item m="1" x="511"/>
        <item m="1" x="97"/>
        <item m="1" x="535"/>
        <item m="1" x="144"/>
        <item m="1" x="594"/>
        <item m="1" x="170"/>
        <item m="1" x="633"/>
        <item m="1" x="51"/>
        <item m="1" x="58"/>
        <item m="1" x="498"/>
        <item m="1" x="514"/>
        <item m="1" x="100"/>
        <item m="1" x="596"/>
        <item m="1" x="173"/>
        <item m="1" x="499"/>
        <item m="1" x="508"/>
        <item m="1" x="550"/>
        <item m="1" x="130"/>
        <item m="1" x="569"/>
        <item m="1" x="217"/>
        <item m="1" x="673"/>
        <item m="1" x="713"/>
        <item m="1" x="91"/>
        <item m="1" x="516"/>
        <item m="1" x="132"/>
        <item m="1" x="600"/>
        <item m="1" x="715"/>
        <item m="1" x="135"/>
        <item m="1" x="620"/>
        <item m="1" x="636"/>
        <item m="1" x="223"/>
        <item m="1" x="244"/>
        <item m="1" x="739"/>
        <item m="1" x="756"/>
        <item m="1" x="311"/>
        <item m="1" x="773"/>
        <item m="1" x="226"/>
        <item m="1" x="247"/>
        <item m="1" x="281"/>
        <item m="1" x="759"/>
        <item m="1" x="327"/>
        <item m="1" x="345"/>
        <item m="1" x="604"/>
        <item m="1" x="198"/>
        <item m="1" x="641"/>
        <item m="1" x="701"/>
        <item m="1" x="727"/>
        <item m="1" x="285"/>
        <item m="1" x="744"/>
        <item m="1" x="845"/>
        <item m="1" x="855"/>
        <item m="1" x="209"/>
        <item m="1" x="665"/>
        <item m="1" x="264"/>
        <item m="1" x="798"/>
        <item m="1" x="818"/>
        <item m="1" x="834"/>
        <item m="1" x="380"/>
        <item m="1" x="388"/>
        <item m="1" x="405"/>
        <item m="1" x="667"/>
        <item m="1" x="766"/>
        <item m="1" x="778"/>
        <item m="1" x="820"/>
        <item m="1" x="390"/>
        <item m="1" x="889"/>
        <item m="1" x="14"/>
        <item m="1" x="266"/>
        <item m="1" x="290"/>
        <item m="1" x="319"/>
        <item m="1" x="338"/>
        <item m="1" x="824"/>
        <item m="1" x="371"/>
        <item m="1" x="394"/>
        <item m="1" x="16"/>
        <item m="1" x="26"/>
        <item m="1" x="33"/>
        <item m="1" x="768"/>
        <item m="1" x="357"/>
        <item m="1" x="372"/>
        <item m="1" x="396"/>
        <item m="1" x="864"/>
        <item m="1" x="422"/>
        <item m="1" x="18"/>
        <item m="1" x="451"/>
        <item m="1" x="459"/>
        <item m="1" x="784"/>
        <item m="1" x="806"/>
        <item m="1" x="358"/>
        <item m="1" x="866"/>
        <item m="1" x="423"/>
        <item m="1" x="429"/>
        <item m="1" x="441"/>
        <item m="1" x="37"/>
        <item m="1" x="45"/>
        <item m="1" x="484"/>
        <item m="1" x="62"/>
        <item m="1" x="443"/>
        <item m="1" x="31"/>
        <item m="1" x="479"/>
        <item m="1" x="491"/>
        <item m="1" x="87"/>
        <item m="1" x="98"/>
        <item m="1" x="111"/>
        <item m="1" x="547"/>
        <item m="1" x="563"/>
        <item m="1" x="155"/>
        <item m="1" x="171"/>
        <item m="1" x="465"/>
        <item m="1" x="175"/>
        <item m="1" x="71"/>
        <item m="1" x="500"/>
        <item m="1" x="90"/>
        <item m="1" x="102"/>
        <item m="1" x="121"/>
        <item m="1" x="157"/>
        <item m="1" x="599"/>
        <item m="1" x="178"/>
        <item m="1" x="241"/>
        <item m="1" x="517"/>
        <item m="1" x="540"/>
        <item m="1" x="124"/>
        <item m="1" x="552"/>
        <item m="1" x="150"/>
        <item m="1" x="584"/>
        <item m="1" x="603"/>
        <item m="1" x="655"/>
        <item m="1" x="242"/>
        <item m="1" x="257"/>
        <item m="1" x="297"/>
        <item m="1" x="528"/>
        <item m="1" x="116"/>
        <item m="1" x="574"/>
        <item m="1" x="623"/>
        <item m="1" x="639"/>
        <item m="1" x="245"/>
        <item m="1" x="718"/>
        <item m="1" x="278"/>
        <item m="1" x="313"/>
        <item m="1" x="774"/>
        <item m="1" x="136"/>
        <item m="1" x="575"/>
        <item m="1" x="197"/>
        <item m="1" x="699"/>
        <item m="1" x="262"/>
        <item m="1" x="284"/>
        <item m="1" x="761"/>
        <item m="1" x="795"/>
        <item m="1" x="162"/>
        <item m="1" x="605"/>
        <item m="1" x="331"/>
        <item m="1" x="351"/>
        <item m="1" x="817"/>
        <item m="1" x="289"/>
        <item m="1" x="873"/>
        <item m="1" x="686"/>
        <item m="1" x="802"/>
        <item m="1" x="822"/>
        <item m="1" x="890"/>
        <item m="1" x="15"/>
        <item m="1" x="705"/>
        <item m="1" x="729"/>
        <item m="1" x="291"/>
        <item m="1" x="320"/>
        <item m="1" x="782"/>
        <item m="1" x="356"/>
        <item m="1" x="825"/>
        <item m="1" x="863"/>
        <item m="1" x="408"/>
        <item m="1" x="878"/>
        <item m="1" x="421"/>
        <item m="1" x="27"/>
        <item m="1" x="304"/>
        <item m="1" x="805"/>
        <item m="1" x="826"/>
        <item m="1" x="373"/>
        <item m="1" x="851"/>
        <item m="1" x="397"/>
        <item m="1" x="865"/>
        <item m="1" x="879"/>
        <item m="1" x="19"/>
        <item m="1" x="437"/>
        <item m="1" x="452"/>
        <item m="1" x="470"/>
        <item m="1" x="340"/>
        <item m="1" x="807"/>
        <item m="1" x="359"/>
        <item m="1" x="398"/>
        <item m="1" x="424"/>
        <item m="1" x="892"/>
        <item m="1" x="20"/>
        <item m="1" x="453"/>
        <item m="1" x="38"/>
        <item m="1" x="46"/>
        <item m="1" x="485"/>
        <item m="1" x="63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4">
        <item h="1" x="1"/>
        <item x="0"/>
        <item h="1" x="2"/>
        <item t="default"/>
      </items>
    </pivotField>
    <pivotField axis="axisRow" showAll="0">
      <items count="7">
        <item x="1"/>
        <item x="2"/>
        <item n="No info" x="0"/>
        <item x="4"/>
        <item x="3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1"/>
  </colFields>
  <colItems count="2">
    <i>
      <x v="1"/>
    </i>
    <i t="grand">
      <x/>
    </i>
  </colItems>
  <dataFields count="1">
    <dataField name="Cuenta de Hubo Arresto" fld="21" subtotal="count" baseField="0" baseItem="0"/>
  </dataFields>
  <chartFormats count="2"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59E01-9C51-4999-B3B2-3FADBE89894B}" name="TablaDinámica17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1">
  <location ref="A3:N11" firstHeaderRow="1" firstDataRow="3" firstDataCol="1"/>
  <pivotFields count="34">
    <pivotField showAll="0"/>
    <pivotField showAll="0"/>
    <pivotField showAll="0"/>
    <pivotField showAll="0"/>
    <pivotField showAll="0">
      <items count="894">
        <item x="0"/>
        <item x="3"/>
        <item x="4"/>
        <item x="1"/>
        <item x="5"/>
        <item x="6"/>
        <item x="2"/>
        <item m="1" x="29"/>
        <item m="1" x="454"/>
        <item m="1" x="39"/>
        <item m="1" x="74"/>
        <item m="1" x="501"/>
        <item m="1" x="518"/>
        <item m="1" x="103"/>
        <item m="1" x="471"/>
        <item m="1" x="486"/>
        <item m="1" x="519"/>
        <item m="1" x="541"/>
        <item m="1" x="125"/>
        <item m="1" x="587"/>
        <item m="1" x="183"/>
        <item m="1" x="64"/>
        <item m="1" x="644"/>
        <item m="1" x="210"/>
        <item m="1" x="249"/>
        <item m="1" x="93"/>
        <item m="1" x="532"/>
        <item m="1" x="166"/>
        <item m="1" x="607"/>
        <item m="1" x="668"/>
        <item m="1" x="231"/>
        <item m="1" x="250"/>
        <item m="1" x="534"/>
        <item m="1" x="128"/>
        <item m="1" x="169"/>
        <item m="1" x="186"/>
        <item m="1" x="646"/>
        <item m="1" x="669"/>
        <item m="1" x="267"/>
        <item m="1" x="321"/>
        <item m="1" x="785"/>
        <item m="1" x="564"/>
        <item m="1" x="145"/>
        <item m="1" x="583"/>
        <item m="1" x="189"/>
        <item m="1" x="269"/>
        <item m="1" x="292"/>
        <item m="1" x="787"/>
        <item m="1" x="615"/>
        <item m="1" x="216"/>
        <item m="1" x="238"/>
        <item m="1" x="252"/>
        <item m="1" x="270"/>
        <item m="1" x="360"/>
        <item m="1" x="838"/>
        <item m="1" x="254"/>
        <item m="1" x="734"/>
        <item m="1" x="828"/>
        <item m="1" x="399"/>
        <item m="1" x="409"/>
        <item m="1" x="880"/>
        <item m="1" x="656"/>
        <item m="1" x="220"/>
        <item m="1" x="680"/>
        <item m="1" x="243"/>
        <item m="1" x="716"/>
        <item m="1" x="738"/>
        <item m="1" x="754"/>
        <item m="1" x="790"/>
        <item m="1" x="383"/>
        <item m="1" x="867"/>
        <item m="1" x="410"/>
        <item m="1" x="8"/>
        <item m="1" x="719"/>
        <item m="1" x="740"/>
        <item m="1" x="401"/>
        <item m="1" x="883"/>
        <item m="1" x="402"/>
        <item m="1" x="414"/>
        <item m="1" x="352"/>
        <item m="1" x="425"/>
        <item m="1" x="433"/>
        <item m="1" x="466"/>
        <item m="1" x="52"/>
        <item m="1" x="480"/>
        <item m="1" x="460"/>
        <item m="1" x="494"/>
        <item m="1" x="152"/>
        <item m="1" x="462"/>
        <item m="1" x="47"/>
        <item m="1" x="473"/>
        <item m="1" x="75"/>
        <item m="1" x="520"/>
        <item m="1" x="126"/>
        <item m="1" x="163"/>
        <item m="1" x="643"/>
        <item m="1" x="487"/>
        <item m="1" x="65"/>
        <item m="1" x="105"/>
        <item m="1" x="138"/>
        <item m="1" x="578"/>
        <item m="1" x="211"/>
        <item m="1" x="706"/>
        <item m="1" x="83"/>
        <item m="1" x="523"/>
        <item m="1" x="533"/>
        <item m="1" x="140"/>
        <item m="1" x="580"/>
        <item m="1" x="199"/>
        <item m="1" x="645"/>
        <item m="1" x="687"/>
        <item m="1" x="109"/>
        <item m="1" x="544"/>
        <item m="1" x="561"/>
        <item m="1" x="595"/>
        <item m="1" x="610"/>
        <item m="1" x="648"/>
        <item m="1" x="671"/>
        <item m="1" x="751"/>
        <item m="1" x="305"/>
        <item m="1" x="786"/>
        <item m="1" x="548"/>
        <item m="1" x="567"/>
        <item m="1" x="146"/>
        <item m="1" x="597"/>
        <item m="1" x="174"/>
        <item m="1" x="612"/>
        <item m="1" x="191"/>
        <item m="1" x="236"/>
        <item m="1" x="692"/>
        <item m="1" x="808"/>
        <item m="1" x="177"/>
        <item m="1" x="218"/>
        <item m="1" x="674"/>
        <item m="1" x="239"/>
        <item m="1" x="810"/>
        <item m="1" x="361"/>
        <item m="1" x="827"/>
        <item m="1" x="205"/>
        <item m="1" x="788"/>
        <item m="1" x="852"/>
        <item m="1" x="400"/>
        <item m="1" x="681"/>
        <item m="1" x="259"/>
        <item m="1" x="275"/>
        <item m="1" x="757"/>
        <item m="1" x="343"/>
        <item m="1" x="829"/>
        <item m="1" x="411"/>
        <item m="1" x="881"/>
        <item m="1" x="720"/>
        <item m="1" x="282"/>
        <item m="1" x="760"/>
        <item m="1" x="775"/>
        <item m="1" x="366"/>
        <item m="1" x="413"/>
        <item m="1" x="430"/>
        <item m="1" x="445"/>
        <item m="1" x="333"/>
        <item m="1" x="819"/>
        <item m="1" x="835"/>
        <item m="1" x="887"/>
        <item m="1" x="427"/>
        <item m="1" x="440"/>
        <item m="1" x="467"/>
        <item m="1" x="53"/>
        <item m="1" x="481"/>
        <item m="1" x="442"/>
        <item m="1" x="30"/>
        <item m="1" x="40"/>
        <item m="1" x="461"/>
        <item m="1" x="472"/>
        <item m="1" x="56"/>
        <item m="1" x="576"/>
        <item m="1" x="588"/>
        <item m="1" x="502"/>
        <item m="1" x="104"/>
        <item m="1" x="117"/>
        <item m="1" x="543"/>
        <item m="1" x="606"/>
        <item m="1" x="67"/>
        <item m="1" x="77"/>
        <item m="1" x="509"/>
        <item m="1" x="557"/>
        <item m="1" x="592"/>
        <item m="1" x="628"/>
        <item m="1" x="108"/>
        <item m="1" x="118"/>
        <item m="1" x="559"/>
        <item m="1" x="142"/>
        <item m="1" x="582"/>
        <item m="1" x="609"/>
        <item m="1" x="632"/>
        <item m="1" x="670"/>
        <item m="1" x="688"/>
        <item m="1" x="268"/>
        <item m="1" x="112"/>
        <item m="1" x="565"/>
        <item m="1" x="172"/>
        <item m="1" x="200"/>
        <item m="1" x="214"/>
        <item m="1" x="235"/>
        <item m="1" x="731"/>
        <item m="1" x="752"/>
        <item m="1" x="147"/>
        <item m="1" x="193"/>
        <item m="1" x="733"/>
        <item m="1" x="770"/>
        <item m="1" x="341"/>
        <item m="1" x="809"/>
        <item m="1" x="618"/>
        <item m="1" x="308"/>
        <item m="1" x="811"/>
        <item m="1" x="657"/>
        <item m="1" x="772"/>
        <item m="1" x="323"/>
        <item m="1" x="813"/>
        <item m="1" x="840"/>
        <item m="1" x="659"/>
        <item m="1" x="261"/>
        <item m="1" x="279"/>
        <item m="1" x="300"/>
        <item m="1" x="326"/>
        <item m="1" x="364"/>
        <item m="1" x="830"/>
        <item m="1" x="375"/>
        <item m="1" x="412"/>
        <item m="1" x="724"/>
        <item m="1" x="302"/>
        <item m="1" x="328"/>
        <item m="1" x="347"/>
        <item m="1" x="386"/>
        <item m="1" x="403"/>
        <item m="1" x="869"/>
        <item m="1" x="438"/>
        <item m="1" x="444"/>
        <item m="1" x="747"/>
        <item m="1" x="316"/>
        <item m="1" x="369"/>
        <item m="1" x="832"/>
        <item m="1" x="416"/>
        <item m="1" x="886"/>
        <item m="1" x="21"/>
        <item m="1" x="446"/>
        <item m="1" x="370"/>
        <item m="1" x="456"/>
        <item m="1" x="54"/>
        <item m="1" x="59"/>
        <item m="1" x="492"/>
        <item m="1" x="41"/>
        <item m="1" x="57"/>
        <item m="1" x="92"/>
        <item m="1" x="521"/>
        <item m="1" x="542"/>
        <item m="1" x="554"/>
        <item m="1" x="577"/>
        <item m="1" x="589"/>
        <item m="1" x="164"/>
        <item m="1" x="66"/>
        <item m="1" x="495"/>
        <item m="1" x="76"/>
        <item m="1" x="503"/>
        <item m="1" x="530"/>
        <item m="1" x="579"/>
        <item m="1" x="626"/>
        <item m="1" x="505"/>
        <item m="1" x="94"/>
        <item m="1" x="141"/>
        <item m="1" x="608"/>
        <item m="1" x="232"/>
        <item m="1" x="545"/>
        <item m="1" x="212"/>
        <item m="1" x="730"/>
        <item m="1" x="549"/>
        <item m="1" x="613"/>
        <item m="1" x="192"/>
        <item m="1" x="634"/>
        <item m="1" x="237"/>
        <item m="1" x="708"/>
        <item m="1" x="294"/>
        <item m="1" x="769"/>
        <item m="1" x="635"/>
        <item m="1" x="203"/>
        <item m="1" x="651"/>
        <item m="1" x="675"/>
        <item m="1" x="253"/>
        <item m="1" x="159"/>
        <item m="1" x="653"/>
        <item m="1" x="678"/>
        <item m="1" x="735"/>
        <item m="1" x="789"/>
        <item m="1" x="342"/>
        <item m="1" x="839"/>
        <item m="1" x="621"/>
        <item m="1" x="637"/>
        <item m="1" x="224"/>
        <item m="1" x="260"/>
        <item m="1" x="276"/>
        <item m="1" x="384"/>
        <item m="1" x="868"/>
        <item m="1" x="882"/>
        <item m="1" x="227"/>
        <item m="1" x="721"/>
        <item m="1" x="793"/>
        <item m="1" x="367"/>
        <item m="1" x="843"/>
        <item m="1" x="9"/>
        <item m="1" x="745"/>
        <item m="1" x="776"/>
        <item m="1" x="349"/>
        <item m="1" x="870"/>
        <item m="1" x="432"/>
        <item m="1" x="439"/>
        <item m="1" x="24"/>
        <item m="1" x="353"/>
        <item m="1" x="836"/>
        <item m="1" x="857"/>
        <item m="1" x="428"/>
        <item m="1" x="23"/>
        <item m="1" x="455"/>
        <item m="1" x="779"/>
        <item m="1" x="335"/>
        <item m="1" x="848"/>
        <item m="1" x="407"/>
        <item m="1" x="449"/>
        <item m="1" x="458"/>
        <item m="1" x="60"/>
        <item m="1" x="474"/>
        <item m="1" x="80"/>
        <item m="1" x="529"/>
        <item m="1" x="555"/>
        <item m="1" x="137"/>
        <item m="1" x="590"/>
        <item m="1" x="165"/>
        <item m="1" x="475"/>
        <item m="1" x="504"/>
        <item m="1" x="82"/>
        <item m="1" x="106"/>
        <item m="1" x="184"/>
        <item m="1" x="629"/>
        <item m="1" x="86"/>
        <item m="1" x="96"/>
        <item m="1" x="143"/>
        <item m="1" x="593"/>
        <item m="1" x="187"/>
        <item m="1" x="647"/>
        <item m="1" x="233"/>
        <item m="1" x="689"/>
        <item m="1" x="88"/>
        <item m="1" x="99"/>
        <item m="1" x="524"/>
        <item m="1" x="113"/>
        <item m="1" x="566"/>
        <item m="1" x="201"/>
        <item m="1" x="690"/>
        <item m="1" x="251"/>
        <item m="1" x="707"/>
        <item m="1" x="732"/>
        <item m="1" x="293"/>
        <item m="1" x="526"/>
        <item m="1" x="114"/>
        <item m="1" x="538"/>
        <item m="1" x="120"/>
        <item m="1" x="148"/>
        <item m="1" x="156"/>
        <item m="1" x="711"/>
        <item m="1" x="271"/>
        <item m="1" x="295"/>
        <item m="1" x="306"/>
        <item m="1" x="771"/>
        <item m="1" x="131"/>
        <item m="1" x="619"/>
        <item m="1" x="677"/>
        <item m="1" x="694"/>
        <item m="1" x="255"/>
        <item m="1" x="273"/>
        <item m="1" x="812"/>
        <item m="1" x="362"/>
        <item m="1" x="161"/>
        <item m="1" x="181"/>
        <item m="1" x="195"/>
        <item m="1" x="207"/>
        <item m="1" x="221"/>
        <item m="1" x="696"/>
        <item m="1" x="324"/>
        <item m="1" x="791"/>
        <item m="1" x="841"/>
        <item m="1" x="624"/>
        <item m="1" x="660"/>
        <item m="1" x="682"/>
        <item m="1" x="246"/>
        <item m="1" x="697"/>
        <item m="1" x="280"/>
        <item m="1" x="741"/>
        <item m="1" x="758"/>
        <item m="1" x="344"/>
        <item m="1" x="814"/>
        <item m="1" x="376"/>
        <item m="1" x="853"/>
        <item m="1" x="884"/>
        <item m="1" x="661"/>
        <item m="1" x="700"/>
        <item m="1" x="725"/>
        <item m="1" x="743"/>
        <item m="1" x="762"/>
        <item m="1" x="329"/>
        <item m="1" x="348"/>
        <item m="1" x="815"/>
        <item m="1" x="378"/>
        <item m="1" x="885"/>
        <item m="1" x="10"/>
        <item m="1" x="431"/>
        <item m="1" x="702"/>
        <item m="1" x="287"/>
        <item m="1" x="777"/>
        <item m="1" x="332"/>
        <item m="1" x="833"/>
        <item m="1" x="379"/>
        <item m="1" x="856"/>
        <item m="1" x="404"/>
        <item m="1" x="426"/>
        <item m="1" x="22"/>
        <item m="1" x="765"/>
        <item m="1" x="799"/>
        <item m="1" x="847"/>
        <item m="1" x="859"/>
        <item m="1" x="874"/>
        <item m="1" x="12"/>
        <item m="1" x="448"/>
        <item m="1" x="457"/>
        <item m="1" x="780"/>
        <item m="1" x="336"/>
        <item m="1" x="823"/>
        <item m="1" x="861"/>
        <item m="1" x="420"/>
        <item m="1" x="450"/>
        <item m="1" x="48"/>
        <item m="1" x="488"/>
        <item m="1" x="81"/>
        <item m="1" x="522"/>
        <item m="1" x="531"/>
        <item m="1" x="556"/>
        <item m="1" x="139"/>
        <item m="1" x="591"/>
        <item m="1" x="627"/>
        <item m="1" x="49"/>
        <item m="1" x="69"/>
        <item m="1" x="84"/>
        <item m="1" x="95"/>
        <item m="1" x="581"/>
        <item m="1" x="185"/>
        <item m="1" x="631"/>
        <item m="1" x="490"/>
        <item m="1" x="512"/>
        <item m="1" x="154"/>
        <item m="1" x="611"/>
        <item m="1" x="213"/>
        <item m="1" x="234"/>
        <item m="1" x="515"/>
        <item m="1" x="215"/>
        <item m="1" x="709"/>
        <item m="1" x="539"/>
        <item m="1" x="551"/>
        <item m="1" x="570"/>
        <item m="1" x="616"/>
        <item m="1" x="204"/>
        <item m="1" x="652"/>
        <item m="1" x="219"/>
        <item m="1" x="240"/>
        <item m="1" x="296"/>
        <item m="1" x="307"/>
        <item m="1" x="322"/>
        <item m="1" x="571"/>
        <item m="1" x="160"/>
        <item m="1" x="601"/>
        <item m="1" x="180"/>
        <item m="1" x="654"/>
        <item m="1" x="679"/>
        <item m="1" x="274"/>
        <item m="1" x="736"/>
        <item m="1" x="585"/>
        <item m="1" x="622"/>
        <item m="1" x="196"/>
        <item m="1" x="717"/>
        <item m="1" x="298"/>
        <item m="1" x="312"/>
        <item m="1" x="374"/>
        <item m="1" x="228"/>
        <item m="1" x="248"/>
        <item m="1" x="722"/>
        <item m="1" x="283"/>
        <item m="1" x="742"/>
        <item m="1" x="301"/>
        <item m="1" x="794"/>
        <item m="1" x="663"/>
        <item m="1" x="684"/>
        <item m="1" x="314"/>
        <item m="1" x="796"/>
        <item m="1" x="334"/>
        <item m="1" x="354"/>
        <item m="1" x="381"/>
        <item m="1" x="389"/>
        <item m="1" x="858"/>
        <item m="1" x="871"/>
        <item m="1" x="434"/>
        <item m="1" x="447"/>
        <item m="1" x="767"/>
        <item m="1" x="317"/>
        <item m="1" x="800"/>
        <item m="1" x="821"/>
        <item m="1" x="849"/>
        <item m="1" x="391"/>
        <item m="1" x="860"/>
        <item m="1" x="418"/>
        <item m="1" x="468"/>
        <item m="1" x="781"/>
        <item m="1" x="803"/>
        <item m="1" x="837"/>
        <item m="1" x="891"/>
        <item m="1" x="34"/>
        <item m="1" x="55"/>
        <item m="1" x="482"/>
        <item m="1" x="61"/>
        <item m="1" x="72"/>
        <item m="1" x="42"/>
        <item m="1" x="463"/>
        <item m="1" x="476"/>
        <item m="1" x="68"/>
        <item m="1" x="107"/>
        <item m="1" x="558"/>
        <item m="1" x="167"/>
        <item m="1" x="630"/>
        <item m="1" x="489"/>
        <item m="1" x="78"/>
        <item m="1" x="119"/>
        <item m="1" x="560"/>
        <item m="1" x="153"/>
        <item m="1" x="188"/>
        <item m="1" x="497"/>
        <item m="1" x="537"/>
        <item m="1" x="190"/>
        <item m="1" x="649"/>
        <item m="1" x="691"/>
        <item m="1" x="115"/>
        <item m="1" x="598"/>
        <item m="1" x="176"/>
        <item m="1" x="650"/>
        <item m="1" x="672"/>
        <item m="1" x="712"/>
        <item m="1" x="122"/>
        <item m="1" x="158"/>
        <item m="1" x="179"/>
        <item m="1" x="695"/>
        <item m="1" x="256"/>
        <item m="1" x="714"/>
        <item m="1" x="753"/>
        <item m="1" x="309"/>
        <item m="1" x="553"/>
        <item m="1" x="134"/>
        <item m="1" x="572"/>
        <item m="1" x="182"/>
        <item m="1" x="658"/>
        <item m="1" x="222"/>
        <item m="1" x="258"/>
        <item m="1" x="755"/>
        <item m="1" x="310"/>
        <item m="1" x="325"/>
        <item m="1" x="586"/>
        <item m="1" x="225"/>
        <item m="1" x="698"/>
        <item m="1" x="365"/>
        <item m="1" x="842"/>
        <item m="1" x="385"/>
        <item m="1" x="625"/>
        <item m="1" x="640"/>
        <item m="1" x="662"/>
        <item m="1" x="683"/>
        <item m="1" x="726"/>
        <item m="1" x="330"/>
        <item m="1" x="816"/>
        <item m="1" x="368"/>
        <item m="1" x="831"/>
        <item m="1" x="844"/>
        <item m="1" x="387"/>
        <item m="1" x="854"/>
        <item m="1" x="664"/>
        <item m="1" x="685"/>
        <item m="1" x="263"/>
        <item m="1" x="728"/>
        <item m="1" x="748"/>
        <item m="1" x="764"/>
        <item m="1" x="846"/>
        <item m="1" x="417"/>
        <item m="1" x="11"/>
        <item m="1" x="704"/>
        <item m="1" x="749"/>
        <item m="1" x="303"/>
        <item m="1" x="382"/>
        <item m="1" x="406"/>
        <item m="1" x="875"/>
        <item m="1" x="888"/>
        <item m="1" x="13"/>
        <item m="1" x="436"/>
        <item m="1" x="25"/>
        <item m="1" x="318"/>
        <item m="1" x="337"/>
        <item m="1" x="393"/>
        <item m="1" x="43"/>
        <item m="1" x="850"/>
        <item m="1" x="17"/>
        <item m="1" x="28"/>
        <item m="1" x="35"/>
        <item m="1" x="73"/>
        <item m="1" x="464"/>
        <item m="1" x="477"/>
        <item m="1" x="506"/>
        <item m="1" x="85"/>
        <item m="1" x="510"/>
        <item m="1" x="127"/>
        <item m="1" x="168"/>
        <item m="1" x="478"/>
        <item m="1" x="70"/>
        <item m="1" x="513"/>
        <item m="1" x="110"/>
        <item m="1" x="536"/>
        <item m="1" x="546"/>
        <item m="1" x="129"/>
        <item m="1" x="562"/>
        <item m="1" x="101"/>
        <item m="1" x="525"/>
        <item m="1" x="568"/>
        <item m="1" x="614"/>
        <item m="1" x="202"/>
        <item m="1" x="693"/>
        <item m="1" x="710"/>
        <item m="1" x="89"/>
        <item m="1" x="149"/>
        <item m="1" x="617"/>
        <item m="1" x="194"/>
        <item m="1" x="676"/>
        <item m="1" x="272"/>
        <item m="1" x="527"/>
        <item m="1" x="123"/>
        <item m="1" x="133"/>
        <item m="1" x="602"/>
        <item m="1" x="206"/>
        <item m="1" x="737"/>
        <item m="1" x="573"/>
        <item m="1" x="151"/>
        <item m="1" x="638"/>
        <item m="1" x="277"/>
        <item m="1" x="299"/>
        <item m="1" x="792"/>
        <item m="1" x="363"/>
        <item m="1" x="229"/>
        <item m="1" x="723"/>
        <item m="1" x="346"/>
        <item m="1" x="377"/>
        <item m="1" x="642"/>
        <item m="1" x="208"/>
        <item m="1" x="230"/>
        <item m="1" x="286"/>
        <item m="1" x="746"/>
        <item m="1" x="763"/>
        <item m="1" x="315"/>
        <item m="1" x="797"/>
        <item m="1" x="350"/>
        <item m="1" x="415"/>
        <item m="1" x="666"/>
        <item m="1" x="703"/>
        <item m="1" x="288"/>
        <item m="1" x="872"/>
        <item m="1" x="435"/>
        <item m="1" x="265"/>
        <item m="1" x="801"/>
        <item m="1" x="392"/>
        <item m="1" x="876"/>
        <item m="1" x="419"/>
        <item m="1" x="32"/>
        <item m="1" x="750"/>
        <item m="1" x="355"/>
        <item m="1" x="395"/>
        <item m="1" x="862"/>
        <item m="1" x="877"/>
        <item m="1" x="44"/>
        <item m="1" x="469"/>
        <item m="1" x="783"/>
        <item m="1" x="339"/>
        <item m="1" x="804"/>
        <item m="1" x="36"/>
        <item m="1" x="483"/>
        <item m="1" x="493"/>
        <item m="1" x="50"/>
        <item m="1" x="496"/>
        <item m="1" x="79"/>
        <item m="1" x="507"/>
        <item m="1" x="511"/>
        <item m="1" x="97"/>
        <item m="1" x="535"/>
        <item m="1" x="144"/>
        <item m="1" x="594"/>
        <item m="1" x="170"/>
        <item m="1" x="633"/>
        <item m="1" x="51"/>
        <item m="1" x="58"/>
        <item m="1" x="498"/>
        <item m="1" x="514"/>
        <item m="1" x="100"/>
        <item m="1" x="596"/>
        <item m="1" x="173"/>
        <item m="1" x="499"/>
        <item m="1" x="508"/>
        <item m="1" x="550"/>
        <item m="1" x="130"/>
        <item m="1" x="569"/>
        <item m="1" x="217"/>
        <item m="1" x="673"/>
        <item m="1" x="713"/>
        <item m="1" x="91"/>
        <item m="1" x="516"/>
        <item m="1" x="132"/>
        <item m="1" x="600"/>
        <item m="1" x="715"/>
        <item m="1" x="135"/>
        <item m="1" x="620"/>
        <item m="1" x="636"/>
        <item m="1" x="223"/>
        <item m="1" x="244"/>
        <item m="1" x="739"/>
        <item m="1" x="756"/>
        <item m="1" x="311"/>
        <item m="1" x="773"/>
        <item m="1" x="226"/>
        <item m="1" x="247"/>
        <item m="1" x="281"/>
        <item m="1" x="759"/>
        <item m="1" x="327"/>
        <item m="1" x="345"/>
        <item m="1" x="604"/>
        <item m="1" x="198"/>
        <item m="1" x="641"/>
        <item m="1" x="701"/>
        <item m="1" x="727"/>
        <item m="1" x="285"/>
        <item m="1" x="744"/>
        <item m="1" x="845"/>
        <item m="1" x="855"/>
        <item m="1" x="209"/>
        <item m="1" x="665"/>
        <item m="1" x="264"/>
        <item m="1" x="798"/>
        <item m="1" x="818"/>
        <item m="1" x="834"/>
        <item m="1" x="380"/>
        <item m="1" x="388"/>
        <item m="1" x="405"/>
        <item m="1" x="667"/>
        <item m="1" x="766"/>
        <item m="1" x="778"/>
        <item m="1" x="820"/>
        <item m="1" x="390"/>
        <item m="1" x="889"/>
        <item m="1" x="14"/>
        <item m="1" x="266"/>
        <item m="1" x="290"/>
        <item m="1" x="319"/>
        <item m="1" x="338"/>
        <item m="1" x="824"/>
        <item m="1" x="371"/>
        <item m="1" x="394"/>
        <item m="1" x="16"/>
        <item m="1" x="26"/>
        <item m="1" x="33"/>
        <item m="1" x="768"/>
        <item m="1" x="357"/>
        <item m="1" x="372"/>
        <item m="1" x="396"/>
        <item m="1" x="864"/>
        <item m="1" x="422"/>
        <item m="1" x="18"/>
        <item m="1" x="451"/>
        <item m="1" x="459"/>
        <item m="1" x="784"/>
        <item m="1" x="806"/>
        <item m="1" x="358"/>
        <item m="1" x="866"/>
        <item m="1" x="423"/>
        <item m="1" x="429"/>
        <item m="1" x="441"/>
        <item m="1" x="37"/>
        <item m="1" x="45"/>
        <item m="1" x="484"/>
        <item m="1" x="62"/>
        <item m="1" x="443"/>
        <item m="1" x="31"/>
        <item m="1" x="479"/>
        <item m="1" x="491"/>
        <item m="1" x="87"/>
        <item m="1" x="98"/>
        <item m="1" x="111"/>
        <item m="1" x="547"/>
        <item m="1" x="563"/>
        <item m="1" x="155"/>
        <item m="1" x="171"/>
        <item m="1" x="465"/>
        <item m="1" x="175"/>
        <item m="1" x="71"/>
        <item m="1" x="500"/>
        <item m="1" x="90"/>
        <item m="1" x="102"/>
        <item m="1" x="121"/>
        <item m="1" x="157"/>
        <item m="1" x="599"/>
        <item m="1" x="178"/>
        <item m="1" x="241"/>
        <item m="1" x="517"/>
        <item m="1" x="540"/>
        <item m="1" x="124"/>
        <item m="1" x="552"/>
        <item m="1" x="150"/>
        <item m="1" x="584"/>
        <item m="1" x="603"/>
        <item m="1" x="655"/>
        <item m="1" x="242"/>
        <item m="1" x="257"/>
        <item m="1" x="297"/>
        <item m="1" x="528"/>
        <item m="1" x="116"/>
        <item m="1" x="574"/>
        <item m="1" x="623"/>
        <item m="1" x="639"/>
        <item m="1" x="245"/>
        <item m="1" x="718"/>
        <item m="1" x="278"/>
        <item m="1" x="313"/>
        <item m="1" x="774"/>
        <item m="1" x="136"/>
        <item m="1" x="575"/>
        <item m="1" x="197"/>
        <item m="1" x="699"/>
        <item m="1" x="262"/>
        <item m="1" x="284"/>
        <item m="1" x="761"/>
        <item m="1" x="795"/>
        <item m="1" x="162"/>
        <item m="1" x="605"/>
        <item m="1" x="331"/>
        <item m="1" x="351"/>
        <item m="1" x="817"/>
        <item m="1" x="289"/>
        <item m="1" x="873"/>
        <item m="1" x="686"/>
        <item m="1" x="802"/>
        <item m="1" x="822"/>
        <item m="1" x="890"/>
        <item m="1" x="15"/>
        <item m="1" x="705"/>
        <item m="1" x="729"/>
        <item m="1" x="291"/>
        <item m="1" x="320"/>
        <item m="1" x="782"/>
        <item m="1" x="356"/>
        <item m="1" x="825"/>
        <item m="1" x="863"/>
        <item m="1" x="408"/>
        <item m="1" x="878"/>
        <item m="1" x="421"/>
        <item m="1" x="27"/>
        <item m="1" x="304"/>
        <item m="1" x="805"/>
        <item m="1" x="826"/>
        <item m="1" x="373"/>
        <item m="1" x="851"/>
        <item m="1" x="397"/>
        <item m="1" x="865"/>
        <item m="1" x="879"/>
        <item m="1" x="19"/>
        <item m="1" x="437"/>
        <item m="1" x="452"/>
        <item m="1" x="470"/>
        <item m="1" x="340"/>
        <item m="1" x="807"/>
        <item m="1" x="359"/>
        <item m="1" x="398"/>
        <item m="1" x="424"/>
        <item m="1" x="892"/>
        <item m="1" x="20"/>
        <item m="1" x="453"/>
        <item m="1" x="38"/>
        <item m="1" x="46"/>
        <item m="1" x="485"/>
        <item m="1" x="63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axis="axisCol" dataField="1" showAll="0">
      <items count="4">
        <item x="1"/>
        <item x="0"/>
        <item h="1" x="2"/>
        <item t="default"/>
      </items>
    </pivotField>
    <pivotField axis="axisRow" showAll="0">
      <items count="7">
        <item x="1"/>
        <item x="2"/>
        <item n="No hay información" x="0"/>
        <item x="4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2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21"/>
    <field x="14"/>
  </colFields>
  <colItems count="13">
    <i>
      <x/>
      <x/>
    </i>
    <i r="1">
      <x v="1"/>
    </i>
    <i r="1">
      <x v="2"/>
    </i>
    <i r="1">
      <x v="3"/>
    </i>
    <i r="1">
      <x v="4"/>
    </i>
    <i t="default">
      <x/>
    </i>
    <i>
      <x v="1"/>
      <x/>
    </i>
    <i r="1">
      <x v="1"/>
    </i>
    <i r="1">
      <x v="2"/>
    </i>
    <i r="1">
      <x v="3"/>
    </i>
    <i r="1">
      <x v="4"/>
    </i>
    <i t="default">
      <x v="1"/>
    </i>
    <i t="grand">
      <x/>
    </i>
  </colItems>
  <dataFields count="1">
    <dataField name="Cuenta de Hubo Arresto" fld="2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6F9E1A-21E5-4DCE-95C4-A6C3077F7EFA}" name="TablaDinámica10" cacheId="0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2" colHeaderCaption="">
  <location ref="A3:D12" firstHeaderRow="1" firstDataRow="2" firstDataCol="1"/>
  <pivotFields count="34"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894">
        <item x="0"/>
        <item x="3"/>
        <item x="4"/>
        <item x="1"/>
        <item x="5"/>
        <item x="6"/>
        <item x="2"/>
        <item m="1" x="29"/>
        <item m="1" x="454"/>
        <item m="1" x="39"/>
        <item m="1" x="74"/>
        <item m="1" x="501"/>
        <item m="1" x="518"/>
        <item m="1" x="103"/>
        <item m="1" x="471"/>
        <item m="1" x="486"/>
        <item m="1" x="519"/>
        <item m="1" x="541"/>
        <item m="1" x="125"/>
        <item m="1" x="587"/>
        <item m="1" x="183"/>
        <item m="1" x="64"/>
        <item m="1" x="644"/>
        <item m="1" x="210"/>
        <item m="1" x="249"/>
        <item m="1" x="93"/>
        <item m="1" x="532"/>
        <item m="1" x="166"/>
        <item m="1" x="607"/>
        <item m="1" x="668"/>
        <item m="1" x="231"/>
        <item m="1" x="250"/>
        <item m="1" x="534"/>
        <item m="1" x="128"/>
        <item m="1" x="169"/>
        <item m="1" x="186"/>
        <item m="1" x="646"/>
        <item m="1" x="669"/>
        <item m="1" x="267"/>
        <item m="1" x="321"/>
        <item m="1" x="785"/>
        <item m="1" x="564"/>
        <item m="1" x="145"/>
        <item m="1" x="583"/>
        <item m="1" x="189"/>
        <item m="1" x="269"/>
        <item m="1" x="292"/>
        <item m="1" x="787"/>
        <item m="1" x="615"/>
        <item m="1" x="216"/>
        <item m="1" x="238"/>
        <item m="1" x="252"/>
        <item m="1" x="270"/>
        <item m="1" x="360"/>
        <item m="1" x="838"/>
        <item m="1" x="254"/>
        <item m="1" x="734"/>
        <item m="1" x="828"/>
        <item m="1" x="399"/>
        <item m="1" x="409"/>
        <item m="1" x="880"/>
        <item m="1" x="656"/>
        <item m="1" x="220"/>
        <item m="1" x="680"/>
        <item m="1" x="243"/>
        <item m="1" x="716"/>
        <item m="1" x="738"/>
        <item m="1" x="754"/>
        <item m="1" x="790"/>
        <item m="1" x="383"/>
        <item m="1" x="867"/>
        <item m="1" x="410"/>
        <item m="1" x="8"/>
        <item m="1" x="719"/>
        <item m="1" x="740"/>
        <item m="1" x="401"/>
        <item m="1" x="883"/>
        <item m="1" x="402"/>
        <item m="1" x="414"/>
        <item m="1" x="352"/>
        <item m="1" x="425"/>
        <item m="1" x="433"/>
        <item m="1" x="466"/>
        <item m="1" x="52"/>
        <item m="1" x="480"/>
        <item m="1" x="460"/>
        <item m="1" x="494"/>
        <item m="1" x="152"/>
        <item m="1" x="462"/>
        <item m="1" x="47"/>
        <item m="1" x="473"/>
        <item m="1" x="75"/>
        <item m="1" x="520"/>
        <item m="1" x="126"/>
        <item m="1" x="163"/>
        <item m="1" x="643"/>
        <item m="1" x="487"/>
        <item m="1" x="65"/>
        <item m="1" x="105"/>
        <item m="1" x="138"/>
        <item m="1" x="578"/>
        <item m="1" x="211"/>
        <item m="1" x="706"/>
        <item m="1" x="83"/>
        <item m="1" x="523"/>
        <item m="1" x="533"/>
        <item m="1" x="140"/>
        <item m="1" x="580"/>
        <item m="1" x="199"/>
        <item m="1" x="645"/>
        <item m="1" x="687"/>
        <item m="1" x="109"/>
        <item m="1" x="544"/>
        <item m="1" x="561"/>
        <item m="1" x="595"/>
        <item m="1" x="610"/>
        <item m="1" x="648"/>
        <item m="1" x="671"/>
        <item m="1" x="751"/>
        <item m="1" x="305"/>
        <item m="1" x="786"/>
        <item m="1" x="548"/>
        <item m="1" x="567"/>
        <item m="1" x="146"/>
        <item m="1" x="597"/>
        <item m="1" x="174"/>
        <item m="1" x="612"/>
        <item m="1" x="191"/>
        <item m="1" x="236"/>
        <item m="1" x="692"/>
        <item m="1" x="808"/>
        <item m="1" x="177"/>
        <item m="1" x="218"/>
        <item m="1" x="674"/>
        <item m="1" x="239"/>
        <item m="1" x="810"/>
        <item m="1" x="361"/>
        <item m="1" x="827"/>
        <item m="1" x="205"/>
        <item m="1" x="788"/>
        <item m="1" x="852"/>
        <item m="1" x="400"/>
        <item m="1" x="681"/>
        <item m="1" x="259"/>
        <item m="1" x="275"/>
        <item m="1" x="757"/>
        <item m="1" x="343"/>
        <item m="1" x="829"/>
        <item m="1" x="411"/>
        <item m="1" x="881"/>
        <item m="1" x="720"/>
        <item m="1" x="282"/>
        <item m="1" x="760"/>
        <item m="1" x="775"/>
        <item m="1" x="366"/>
        <item m="1" x="413"/>
        <item m="1" x="430"/>
        <item m="1" x="445"/>
        <item m="1" x="333"/>
        <item m="1" x="819"/>
        <item m="1" x="835"/>
        <item m="1" x="887"/>
        <item m="1" x="427"/>
        <item m="1" x="440"/>
        <item m="1" x="467"/>
        <item m="1" x="53"/>
        <item m="1" x="481"/>
        <item m="1" x="442"/>
        <item m="1" x="30"/>
        <item m="1" x="40"/>
        <item m="1" x="461"/>
        <item m="1" x="472"/>
        <item m="1" x="56"/>
        <item m="1" x="576"/>
        <item m="1" x="588"/>
        <item m="1" x="502"/>
        <item m="1" x="104"/>
        <item m="1" x="117"/>
        <item m="1" x="543"/>
        <item m="1" x="606"/>
        <item m="1" x="67"/>
        <item m="1" x="77"/>
        <item m="1" x="509"/>
        <item m="1" x="557"/>
        <item m="1" x="592"/>
        <item m="1" x="628"/>
        <item m="1" x="108"/>
        <item m="1" x="118"/>
        <item m="1" x="559"/>
        <item m="1" x="142"/>
        <item m="1" x="582"/>
        <item m="1" x="609"/>
        <item m="1" x="632"/>
        <item m="1" x="670"/>
        <item m="1" x="688"/>
        <item m="1" x="268"/>
        <item m="1" x="112"/>
        <item m="1" x="565"/>
        <item m="1" x="172"/>
        <item m="1" x="200"/>
        <item m="1" x="214"/>
        <item m="1" x="235"/>
        <item m="1" x="731"/>
        <item m="1" x="752"/>
        <item m="1" x="147"/>
        <item m="1" x="193"/>
        <item m="1" x="733"/>
        <item m="1" x="770"/>
        <item m="1" x="341"/>
        <item m="1" x="809"/>
        <item m="1" x="618"/>
        <item m="1" x="308"/>
        <item m="1" x="811"/>
        <item m="1" x="657"/>
        <item m="1" x="772"/>
        <item m="1" x="323"/>
        <item m="1" x="813"/>
        <item m="1" x="840"/>
        <item m="1" x="659"/>
        <item m="1" x="261"/>
        <item m="1" x="279"/>
        <item m="1" x="300"/>
        <item m="1" x="326"/>
        <item m="1" x="364"/>
        <item m="1" x="830"/>
        <item m="1" x="375"/>
        <item m="1" x="412"/>
        <item m="1" x="724"/>
        <item m="1" x="302"/>
        <item m="1" x="328"/>
        <item m="1" x="347"/>
        <item m="1" x="386"/>
        <item m="1" x="403"/>
        <item m="1" x="869"/>
        <item m="1" x="438"/>
        <item m="1" x="444"/>
        <item m="1" x="747"/>
        <item m="1" x="316"/>
        <item m="1" x="369"/>
        <item m="1" x="832"/>
        <item m="1" x="416"/>
        <item m="1" x="886"/>
        <item m="1" x="21"/>
        <item m="1" x="446"/>
        <item m="1" x="370"/>
        <item m="1" x="456"/>
        <item m="1" x="54"/>
        <item m="1" x="59"/>
        <item m="1" x="492"/>
        <item m="1" x="41"/>
        <item m="1" x="57"/>
        <item m="1" x="92"/>
        <item m="1" x="521"/>
        <item m="1" x="542"/>
        <item m="1" x="554"/>
        <item m="1" x="577"/>
        <item m="1" x="589"/>
        <item m="1" x="164"/>
        <item m="1" x="66"/>
        <item m="1" x="495"/>
        <item m="1" x="76"/>
        <item m="1" x="503"/>
        <item m="1" x="530"/>
        <item m="1" x="579"/>
        <item m="1" x="626"/>
        <item m="1" x="505"/>
        <item m="1" x="94"/>
        <item m="1" x="141"/>
        <item m="1" x="608"/>
        <item m="1" x="232"/>
        <item m="1" x="545"/>
        <item m="1" x="212"/>
        <item m="1" x="730"/>
        <item m="1" x="549"/>
        <item m="1" x="613"/>
        <item m="1" x="192"/>
        <item m="1" x="634"/>
        <item m="1" x="237"/>
        <item m="1" x="708"/>
        <item m="1" x="294"/>
        <item m="1" x="769"/>
        <item m="1" x="635"/>
        <item m="1" x="203"/>
        <item m="1" x="651"/>
        <item m="1" x="675"/>
        <item m="1" x="253"/>
        <item m="1" x="159"/>
        <item m="1" x="653"/>
        <item m="1" x="678"/>
        <item m="1" x="735"/>
        <item m="1" x="789"/>
        <item m="1" x="342"/>
        <item m="1" x="839"/>
        <item m="1" x="621"/>
        <item m="1" x="637"/>
        <item m="1" x="224"/>
        <item m="1" x="260"/>
        <item m="1" x="276"/>
        <item m="1" x="384"/>
        <item m="1" x="868"/>
        <item m="1" x="882"/>
        <item m="1" x="227"/>
        <item m="1" x="721"/>
        <item m="1" x="793"/>
        <item m="1" x="367"/>
        <item m="1" x="843"/>
        <item m="1" x="9"/>
        <item m="1" x="745"/>
        <item m="1" x="776"/>
        <item m="1" x="349"/>
        <item m="1" x="870"/>
        <item m="1" x="432"/>
        <item m="1" x="439"/>
        <item m="1" x="24"/>
        <item m="1" x="353"/>
        <item m="1" x="836"/>
        <item m="1" x="857"/>
        <item m="1" x="428"/>
        <item m="1" x="23"/>
        <item m="1" x="455"/>
        <item m="1" x="779"/>
        <item m="1" x="335"/>
        <item m="1" x="848"/>
        <item m="1" x="407"/>
        <item m="1" x="449"/>
        <item m="1" x="458"/>
        <item m="1" x="60"/>
        <item m="1" x="474"/>
        <item m="1" x="80"/>
        <item m="1" x="529"/>
        <item m="1" x="555"/>
        <item m="1" x="137"/>
        <item m="1" x="590"/>
        <item m="1" x="165"/>
        <item m="1" x="475"/>
        <item m="1" x="504"/>
        <item m="1" x="82"/>
        <item m="1" x="106"/>
        <item m="1" x="184"/>
        <item m="1" x="629"/>
        <item m="1" x="86"/>
        <item m="1" x="96"/>
        <item m="1" x="143"/>
        <item m="1" x="593"/>
        <item m="1" x="187"/>
        <item m="1" x="647"/>
        <item m="1" x="233"/>
        <item m="1" x="689"/>
        <item m="1" x="88"/>
        <item m="1" x="99"/>
        <item m="1" x="524"/>
        <item m="1" x="113"/>
        <item m="1" x="566"/>
        <item m="1" x="201"/>
        <item m="1" x="690"/>
        <item m="1" x="251"/>
        <item m="1" x="707"/>
        <item m="1" x="732"/>
        <item m="1" x="293"/>
        <item m="1" x="526"/>
        <item m="1" x="114"/>
        <item m="1" x="538"/>
        <item m="1" x="120"/>
        <item m="1" x="148"/>
        <item m="1" x="156"/>
        <item m="1" x="711"/>
        <item m="1" x="271"/>
        <item m="1" x="295"/>
        <item m="1" x="306"/>
        <item m="1" x="771"/>
        <item m="1" x="131"/>
        <item m="1" x="619"/>
        <item m="1" x="677"/>
        <item m="1" x="694"/>
        <item m="1" x="255"/>
        <item m="1" x="273"/>
        <item m="1" x="812"/>
        <item m="1" x="362"/>
        <item m="1" x="161"/>
        <item m="1" x="181"/>
        <item m="1" x="195"/>
        <item m="1" x="207"/>
        <item m="1" x="221"/>
        <item m="1" x="696"/>
        <item m="1" x="324"/>
        <item m="1" x="791"/>
        <item m="1" x="841"/>
        <item m="1" x="624"/>
        <item m="1" x="660"/>
        <item m="1" x="682"/>
        <item m="1" x="246"/>
        <item m="1" x="697"/>
        <item m="1" x="280"/>
        <item m="1" x="741"/>
        <item m="1" x="758"/>
        <item m="1" x="344"/>
        <item m="1" x="814"/>
        <item m="1" x="376"/>
        <item m="1" x="853"/>
        <item m="1" x="884"/>
        <item m="1" x="661"/>
        <item m="1" x="700"/>
        <item m="1" x="725"/>
        <item m="1" x="743"/>
        <item m="1" x="762"/>
        <item m="1" x="329"/>
        <item m="1" x="348"/>
        <item m="1" x="815"/>
        <item m="1" x="378"/>
        <item m="1" x="885"/>
        <item m="1" x="10"/>
        <item m="1" x="431"/>
        <item m="1" x="702"/>
        <item m="1" x="287"/>
        <item m="1" x="777"/>
        <item m="1" x="332"/>
        <item m="1" x="833"/>
        <item m="1" x="379"/>
        <item m="1" x="856"/>
        <item m="1" x="404"/>
        <item m="1" x="426"/>
        <item m="1" x="22"/>
        <item m="1" x="765"/>
        <item m="1" x="799"/>
        <item m="1" x="847"/>
        <item m="1" x="859"/>
        <item m="1" x="874"/>
        <item m="1" x="12"/>
        <item m="1" x="448"/>
        <item m="1" x="457"/>
        <item m="1" x="780"/>
        <item m="1" x="336"/>
        <item m="1" x="823"/>
        <item m="1" x="861"/>
        <item m="1" x="420"/>
        <item m="1" x="450"/>
        <item m="1" x="48"/>
        <item m="1" x="488"/>
        <item m="1" x="81"/>
        <item m="1" x="522"/>
        <item m="1" x="531"/>
        <item m="1" x="556"/>
        <item m="1" x="139"/>
        <item m="1" x="591"/>
        <item m="1" x="627"/>
        <item m="1" x="49"/>
        <item m="1" x="69"/>
        <item m="1" x="84"/>
        <item m="1" x="95"/>
        <item m="1" x="581"/>
        <item m="1" x="185"/>
        <item m="1" x="631"/>
        <item m="1" x="490"/>
        <item m="1" x="512"/>
        <item m="1" x="154"/>
        <item m="1" x="611"/>
        <item m="1" x="213"/>
        <item m="1" x="234"/>
        <item m="1" x="515"/>
        <item m="1" x="215"/>
        <item m="1" x="709"/>
        <item m="1" x="539"/>
        <item m="1" x="551"/>
        <item m="1" x="570"/>
        <item m="1" x="616"/>
        <item m="1" x="204"/>
        <item m="1" x="652"/>
        <item m="1" x="219"/>
        <item m="1" x="240"/>
        <item m="1" x="296"/>
        <item m="1" x="307"/>
        <item m="1" x="322"/>
        <item m="1" x="571"/>
        <item m="1" x="160"/>
        <item m="1" x="601"/>
        <item m="1" x="180"/>
        <item m="1" x="654"/>
        <item m="1" x="679"/>
        <item m="1" x="274"/>
        <item m="1" x="736"/>
        <item m="1" x="585"/>
        <item m="1" x="622"/>
        <item m="1" x="196"/>
        <item m="1" x="717"/>
        <item m="1" x="298"/>
        <item m="1" x="312"/>
        <item m="1" x="374"/>
        <item m="1" x="228"/>
        <item m="1" x="248"/>
        <item m="1" x="722"/>
        <item m="1" x="283"/>
        <item m="1" x="742"/>
        <item m="1" x="301"/>
        <item m="1" x="794"/>
        <item m="1" x="663"/>
        <item m="1" x="684"/>
        <item m="1" x="314"/>
        <item m="1" x="796"/>
        <item m="1" x="334"/>
        <item m="1" x="354"/>
        <item m="1" x="381"/>
        <item m="1" x="389"/>
        <item m="1" x="858"/>
        <item m="1" x="871"/>
        <item m="1" x="434"/>
        <item m="1" x="447"/>
        <item m="1" x="767"/>
        <item m="1" x="317"/>
        <item m="1" x="800"/>
        <item m="1" x="821"/>
        <item m="1" x="849"/>
        <item m="1" x="391"/>
        <item m="1" x="860"/>
        <item m="1" x="418"/>
        <item m="1" x="468"/>
        <item m="1" x="781"/>
        <item m="1" x="803"/>
        <item m="1" x="837"/>
        <item m="1" x="891"/>
        <item m="1" x="34"/>
        <item m="1" x="55"/>
        <item m="1" x="482"/>
        <item m="1" x="61"/>
        <item m="1" x="72"/>
        <item m="1" x="42"/>
        <item m="1" x="463"/>
        <item m="1" x="476"/>
        <item m="1" x="68"/>
        <item m="1" x="107"/>
        <item m="1" x="558"/>
        <item m="1" x="167"/>
        <item m="1" x="630"/>
        <item m="1" x="489"/>
        <item m="1" x="78"/>
        <item m="1" x="119"/>
        <item m="1" x="560"/>
        <item m="1" x="153"/>
        <item m="1" x="188"/>
        <item m="1" x="497"/>
        <item m="1" x="537"/>
        <item m="1" x="190"/>
        <item m="1" x="649"/>
        <item m="1" x="691"/>
        <item m="1" x="115"/>
        <item m="1" x="598"/>
        <item m="1" x="176"/>
        <item m="1" x="650"/>
        <item m="1" x="672"/>
        <item m="1" x="712"/>
        <item m="1" x="122"/>
        <item m="1" x="158"/>
        <item m="1" x="179"/>
        <item m="1" x="695"/>
        <item m="1" x="256"/>
        <item m="1" x="714"/>
        <item m="1" x="753"/>
        <item m="1" x="309"/>
        <item m="1" x="553"/>
        <item m="1" x="134"/>
        <item m="1" x="572"/>
        <item m="1" x="182"/>
        <item m="1" x="658"/>
        <item m="1" x="222"/>
        <item m="1" x="258"/>
        <item m="1" x="755"/>
        <item m="1" x="310"/>
        <item m="1" x="325"/>
        <item m="1" x="586"/>
        <item m="1" x="225"/>
        <item m="1" x="698"/>
        <item m="1" x="365"/>
        <item m="1" x="842"/>
        <item m="1" x="385"/>
        <item m="1" x="625"/>
        <item m="1" x="640"/>
        <item m="1" x="662"/>
        <item m="1" x="683"/>
        <item m="1" x="726"/>
        <item m="1" x="330"/>
        <item m="1" x="816"/>
        <item m="1" x="368"/>
        <item m="1" x="831"/>
        <item m="1" x="844"/>
        <item m="1" x="387"/>
        <item m="1" x="854"/>
        <item m="1" x="664"/>
        <item m="1" x="685"/>
        <item m="1" x="263"/>
        <item m="1" x="728"/>
        <item m="1" x="748"/>
        <item m="1" x="764"/>
        <item m="1" x="846"/>
        <item m="1" x="417"/>
        <item m="1" x="11"/>
        <item m="1" x="704"/>
        <item m="1" x="749"/>
        <item m="1" x="303"/>
        <item m="1" x="382"/>
        <item m="1" x="406"/>
        <item m="1" x="875"/>
        <item m="1" x="888"/>
        <item m="1" x="13"/>
        <item m="1" x="436"/>
        <item m="1" x="25"/>
        <item m="1" x="318"/>
        <item m="1" x="337"/>
        <item m="1" x="393"/>
        <item m="1" x="43"/>
        <item m="1" x="850"/>
        <item m="1" x="17"/>
        <item m="1" x="28"/>
        <item m="1" x="35"/>
        <item m="1" x="73"/>
        <item m="1" x="464"/>
        <item m="1" x="477"/>
        <item m="1" x="506"/>
        <item m="1" x="85"/>
        <item m="1" x="510"/>
        <item m="1" x="127"/>
        <item m="1" x="168"/>
        <item m="1" x="478"/>
        <item m="1" x="70"/>
        <item m="1" x="513"/>
        <item m="1" x="110"/>
        <item m="1" x="536"/>
        <item m="1" x="546"/>
        <item m="1" x="129"/>
        <item m="1" x="562"/>
        <item m="1" x="101"/>
        <item m="1" x="525"/>
        <item m="1" x="568"/>
        <item m="1" x="614"/>
        <item m="1" x="202"/>
        <item m="1" x="693"/>
        <item m="1" x="710"/>
        <item m="1" x="89"/>
        <item m="1" x="149"/>
        <item m="1" x="617"/>
        <item m="1" x="194"/>
        <item m="1" x="676"/>
        <item m="1" x="272"/>
        <item m="1" x="527"/>
        <item m="1" x="123"/>
        <item m="1" x="133"/>
        <item m="1" x="602"/>
        <item m="1" x="206"/>
        <item m="1" x="737"/>
        <item m="1" x="573"/>
        <item m="1" x="151"/>
        <item m="1" x="638"/>
        <item m="1" x="277"/>
        <item m="1" x="299"/>
        <item m="1" x="792"/>
        <item m="1" x="363"/>
        <item m="1" x="229"/>
        <item m="1" x="723"/>
        <item m="1" x="346"/>
        <item m="1" x="377"/>
        <item m="1" x="642"/>
        <item m="1" x="208"/>
        <item m="1" x="230"/>
        <item m="1" x="286"/>
        <item m="1" x="746"/>
        <item m="1" x="763"/>
        <item m="1" x="315"/>
        <item m="1" x="797"/>
        <item m="1" x="350"/>
        <item m="1" x="415"/>
        <item m="1" x="666"/>
        <item m="1" x="703"/>
        <item m="1" x="288"/>
        <item m="1" x="872"/>
        <item m="1" x="435"/>
        <item m="1" x="265"/>
        <item m="1" x="801"/>
        <item m="1" x="392"/>
        <item m="1" x="876"/>
        <item m="1" x="419"/>
        <item m="1" x="32"/>
        <item m="1" x="750"/>
        <item m="1" x="355"/>
        <item m="1" x="395"/>
        <item m="1" x="862"/>
        <item m="1" x="877"/>
        <item m="1" x="44"/>
        <item m="1" x="469"/>
        <item m="1" x="783"/>
        <item m="1" x="339"/>
        <item m="1" x="804"/>
        <item m="1" x="36"/>
        <item m="1" x="483"/>
        <item m="1" x="493"/>
        <item m="1" x="50"/>
        <item m="1" x="496"/>
        <item m="1" x="79"/>
        <item m="1" x="507"/>
        <item m="1" x="511"/>
        <item m="1" x="97"/>
        <item m="1" x="535"/>
        <item m="1" x="144"/>
        <item m="1" x="594"/>
        <item m="1" x="170"/>
        <item m="1" x="633"/>
        <item m="1" x="51"/>
        <item m="1" x="58"/>
        <item m="1" x="498"/>
        <item m="1" x="514"/>
        <item m="1" x="100"/>
        <item m="1" x="596"/>
        <item m="1" x="173"/>
        <item m="1" x="499"/>
        <item m="1" x="508"/>
        <item m="1" x="550"/>
        <item m="1" x="130"/>
        <item m="1" x="569"/>
        <item m="1" x="217"/>
        <item m="1" x="673"/>
        <item m="1" x="713"/>
        <item m="1" x="91"/>
        <item m="1" x="516"/>
        <item m="1" x="132"/>
        <item m="1" x="600"/>
        <item m="1" x="715"/>
        <item m="1" x="135"/>
        <item m="1" x="620"/>
        <item m="1" x="636"/>
        <item m="1" x="223"/>
        <item m="1" x="244"/>
        <item m="1" x="739"/>
        <item m="1" x="756"/>
        <item m="1" x="311"/>
        <item m="1" x="773"/>
        <item m="1" x="226"/>
        <item m="1" x="247"/>
        <item m="1" x="281"/>
        <item m="1" x="759"/>
        <item m="1" x="327"/>
        <item m="1" x="345"/>
        <item m="1" x="604"/>
        <item m="1" x="198"/>
        <item m="1" x="641"/>
        <item m="1" x="701"/>
        <item m="1" x="727"/>
        <item m="1" x="285"/>
        <item m="1" x="744"/>
        <item m="1" x="845"/>
        <item m="1" x="855"/>
        <item m="1" x="209"/>
        <item m="1" x="665"/>
        <item m="1" x="264"/>
        <item m="1" x="798"/>
        <item m="1" x="818"/>
        <item m="1" x="834"/>
        <item m="1" x="380"/>
        <item m="1" x="388"/>
        <item m="1" x="405"/>
        <item m="1" x="667"/>
        <item m="1" x="766"/>
        <item m="1" x="778"/>
        <item m="1" x="820"/>
        <item m="1" x="390"/>
        <item m="1" x="889"/>
        <item m="1" x="14"/>
        <item m="1" x="266"/>
        <item m="1" x="290"/>
        <item m="1" x="319"/>
        <item m="1" x="338"/>
        <item m="1" x="824"/>
        <item m="1" x="371"/>
        <item m="1" x="394"/>
        <item m="1" x="16"/>
        <item m="1" x="26"/>
        <item m="1" x="33"/>
        <item m="1" x="768"/>
        <item m="1" x="357"/>
        <item m="1" x="372"/>
        <item m="1" x="396"/>
        <item m="1" x="864"/>
        <item m="1" x="422"/>
        <item m="1" x="18"/>
        <item m="1" x="451"/>
        <item m="1" x="459"/>
        <item m="1" x="784"/>
        <item m="1" x="806"/>
        <item m="1" x="358"/>
        <item m="1" x="866"/>
        <item m="1" x="423"/>
        <item m="1" x="429"/>
        <item m="1" x="441"/>
        <item m="1" x="37"/>
        <item m="1" x="45"/>
        <item m="1" x="484"/>
        <item m="1" x="62"/>
        <item m="1" x="443"/>
        <item m="1" x="31"/>
        <item m="1" x="479"/>
        <item m="1" x="491"/>
        <item m="1" x="87"/>
        <item m="1" x="98"/>
        <item m="1" x="111"/>
        <item m="1" x="547"/>
        <item m="1" x="563"/>
        <item m="1" x="155"/>
        <item m="1" x="171"/>
        <item m="1" x="465"/>
        <item m="1" x="175"/>
        <item m="1" x="71"/>
        <item m="1" x="500"/>
        <item m="1" x="90"/>
        <item m="1" x="102"/>
        <item m="1" x="121"/>
        <item m="1" x="157"/>
        <item m="1" x="599"/>
        <item m="1" x="178"/>
        <item m="1" x="241"/>
        <item m="1" x="517"/>
        <item m="1" x="540"/>
        <item m="1" x="124"/>
        <item m="1" x="552"/>
        <item m="1" x="150"/>
        <item m="1" x="584"/>
        <item m="1" x="603"/>
        <item m="1" x="655"/>
        <item m="1" x="242"/>
        <item m="1" x="257"/>
        <item m="1" x="297"/>
        <item m="1" x="528"/>
        <item m="1" x="116"/>
        <item m="1" x="574"/>
        <item m="1" x="623"/>
        <item m="1" x="639"/>
        <item m="1" x="245"/>
        <item m="1" x="718"/>
        <item m="1" x="278"/>
        <item m="1" x="313"/>
        <item m="1" x="774"/>
        <item m="1" x="136"/>
        <item m="1" x="575"/>
        <item m="1" x="197"/>
        <item m="1" x="699"/>
        <item m="1" x="262"/>
        <item m="1" x="284"/>
        <item m="1" x="761"/>
        <item m="1" x="795"/>
        <item m="1" x="162"/>
        <item m="1" x="605"/>
        <item m="1" x="331"/>
        <item m="1" x="351"/>
        <item m="1" x="817"/>
        <item m="1" x="289"/>
        <item m="1" x="873"/>
        <item m="1" x="686"/>
        <item m="1" x="802"/>
        <item m="1" x="822"/>
        <item m="1" x="890"/>
        <item m="1" x="15"/>
        <item m="1" x="705"/>
        <item m="1" x="729"/>
        <item m="1" x="291"/>
        <item m="1" x="320"/>
        <item m="1" x="782"/>
        <item m="1" x="356"/>
        <item m="1" x="825"/>
        <item m="1" x="863"/>
        <item m="1" x="408"/>
        <item m="1" x="878"/>
        <item m="1" x="421"/>
        <item m="1" x="27"/>
        <item m="1" x="304"/>
        <item m="1" x="805"/>
        <item m="1" x="826"/>
        <item m="1" x="373"/>
        <item m="1" x="851"/>
        <item m="1" x="397"/>
        <item m="1" x="865"/>
        <item m="1" x="879"/>
        <item m="1" x="19"/>
        <item m="1" x="437"/>
        <item m="1" x="452"/>
        <item m="1" x="470"/>
        <item m="1" x="340"/>
        <item m="1" x="807"/>
        <item m="1" x="359"/>
        <item m="1" x="398"/>
        <item m="1" x="424"/>
        <item m="1" x="892"/>
        <item m="1" x="20"/>
        <item m="1" x="453"/>
        <item m="1" x="38"/>
        <item m="1" x="46"/>
        <item m="1" x="485"/>
        <item m="1" x="63"/>
        <item x="7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14">
        <item x="1"/>
        <item x="8"/>
        <item x="11"/>
        <item x="6"/>
        <item x="3"/>
        <item x="4"/>
        <item x="9"/>
        <item x="5"/>
        <item x="0"/>
        <item x="2"/>
        <item x="10"/>
        <item x="7"/>
        <item x="12"/>
        <item t="default"/>
      </items>
    </pivotField>
    <pivotField showAll="0">
      <items count="14">
        <item x="9"/>
        <item x="6"/>
        <item x="5"/>
        <item x="3"/>
        <item x="4"/>
        <item x="1"/>
        <item x="2"/>
        <item x="11"/>
        <item x="10"/>
        <item x="7"/>
        <item x="8"/>
        <item x="0"/>
        <item x="12"/>
        <item t="default"/>
      </items>
    </pivotField>
    <pivotField showAll="0"/>
    <pivotField showAll="0"/>
    <pivotField showAll="0"/>
    <pivotField axis="axisRow" dataField="1" showAll="0">
      <items count="9">
        <item x="2"/>
        <item x="1"/>
        <item x="3"/>
        <item x="6"/>
        <item x="0"/>
        <item x="5"/>
        <item h="1" x="7"/>
        <item x="4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multipleItemSelectionAllowed="1" showAl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11"/>
  </rowFields>
  <rowItems count="8">
    <i>
      <x/>
    </i>
    <i>
      <x v="1"/>
    </i>
    <i>
      <x v="2"/>
    </i>
    <i>
      <x v="3"/>
    </i>
    <i>
      <x v="4"/>
    </i>
    <i>
      <x v="5"/>
    </i>
    <i>
      <x v="7"/>
    </i>
    <i t="grand">
      <x/>
    </i>
  </rowItems>
  <colFields count="1">
    <field x="12"/>
  </colFields>
  <colItems count="3">
    <i>
      <x/>
    </i>
    <i>
      <x v="1"/>
    </i>
    <i t="grand">
      <x/>
    </i>
  </colItems>
  <dataFields count="1">
    <dataField name="Cuenta de RANGO ETAREO DEL." fld="11" subtotal="count" baseField="0" baseItem="0"/>
  </dataFields>
  <chartFormats count="2"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699B63-79D8-4AC8-BA7A-ACF9BD123975}" name="TablaDinámica1" cacheId="0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2" colHeaderCaption="">
  <location ref="A3:D12" firstHeaderRow="1" firstDataRow="2" firstDataCol="1"/>
  <pivotFields count="34"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894">
        <item x="0"/>
        <item x="3"/>
        <item x="4"/>
        <item x="1"/>
        <item x="5"/>
        <item x="6"/>
        <item x="2"/>
        <item m="1" x="29"/>
        <item m="1" x="454"/>
        <item m="1" x="39"/>
        <item m="1" x="74"/>
        <item m="1" x="501"/>
        <item m="1" x="518"/>
        <item m="1" x="103"/>
        <item m="1" x="471"/>
        <item m="1" x="486"/>
        <item m="1" x="519"/>
        <item m="1" x="541"/>
        <item m="1" x="125"/>
        <item m="1" x="587"/>
        <item m="1" x="183"/>
        <item m="1" x="64"/>
        <item m="1" x="644"/>
        <item m="1" x="210"/>
        <item m="1" x="249"/>
        <item m="1" x="93"/>
        <item m="1" x="532"/>
        <item m="1" x="166"/>
        <item m="1" x="607"/>
        <item m="1" x="668"/>
        <item m="1" x="231"/>
        <item m="1" x="250"/>
        <item m="1" x="534"/>
        <item m="1" x="128"/>
        <item m="1" x="169"/>
        <item m="1" x="186"/>
        <item m="1" x="646"/>
        <item m="1" x="669"/>
        <item m="1" x="267"/>
        <item m="1" x="321"/>
        <item m="1" x="785"/>
        <item m="1" x="564"/>
        <item m="1" x="145"/>
        <item m="1" x="583"/>
        <item m="1" x="189"/>
        <item m="1" x="269"/>
        <item m="1" x="292"/>
        <item m="1" x="787"/>
        <item m="1" x="615"/>
        <item m="1" x="216"/>
        <item m="1" x="238"/>
        <item m="1" x="252"/>
        <item m="1" x="270"/>
        <item m="1" x="360"/>
        <item m="1" x="838"/>
        <item m="1" x="254"/>
        <item m="1" x="734"/>
        <item m="1" x="828"/>
        <item m="1" x="399"/>
        <item m="1" x="409"/>
        <item m="1" x="880"/>
        <item m="1" x="656"/>
        <item m="1" x="220"/>
        <item m="1" x="680"/>
        <item m="1" x="243"/>
        <item m="1" x="716"/>
        <item m="1" x="738"/>
        <item m="1" x="754"/>
        <item m="1" x="790"/>
        <item m="1" x="383"/>
        <item m="1" x="867"/>
        <item m="1" x="410"/>
        <item m="1" x="8"/>
        <item m="1" x="719"/>
        <item m="1" x="740"/>
        <item m="1" x="401"/>
        <item m="1" x="883"/>
        <item m="1" x="402"/>
        <item m="1" x="414"/>
        <item m="1" x="352"/>
        <item m="1" x="425"/>
        <item m="1" x="433"/>
        <item m="1" x="466"/>
        <item m="1" x="52"/>
        <item m="1" x="480"/>
        <item m="1" x="460"/>
        <item m="1" x="494"/>
        <item m="1" x="152"/>
        <item m="1" x="462"/>
        <item m="1" x="47"/>
        <item m="1" x="473"/>
        <item m="1" x="75"/>
        <item m="1" x="520"/>
        <item m="1" x="126"/>
        <item m="1" x="163"/>
        <item m="1" x="643"/>
        <item m="1" x="487"/>
        <item m="1" x="65"/>
        <item m="1" x="105"/>
        <item m="1" x="138"/>
        <item m="1" x="578"/>
        <item m="1" x="211"/>
        <item m="1" x="706"/>
        <item m="1" x="83"/>
        <item m="1" x="523"/>
        <item m="1" x="533"/>
        <item m="1" x="140"/>
        <item m="1" x="580"/>
        <item m="1" x="199"/>
        <item m="1" x="645"/>
        <item m="1" x="687"/>
        <item m="1" x="109"/>
        <item m="1" x="544"/>
        <item m="1" x="561"/>
        <item m="1" x="595"/>
        <item m="1" x="610"/>
        <item m="1" x="648"/>
        <item m="1" x="671"/>
        <item m="1" x="751"/>
        <item m="1" x="305"/>
        <item m="1" x="786"/>
        <item m="1" x="548"/>
        <item m="1" x="567"/>
        <item m="1" x="146"/>
        <item m="1" x="597"/>
        <item m="1" x="174"/>
        <item m="1" x="612"/>
        <item m="1" x="191"/>
        <item m="1" x="236"/>
        <item m="1" x="692"/>
        <item m="1" x="808"/>
        <item m="1" x="177"/>
        <item m="1" x="218"/>
        <item m="1" x="674"/>
        <item m="1" x="239"/>
        <item m="1" x="810"/>
        <item m="1" x="361"/>
        <item m="1" x="827"/>
        <item m="1" x="205"/>
        <item m="1" x="788"/>
        <item m="1" x="852"/>
        <item m="1" x="400"/>
        <item m="1" x="681"/>
        <item m="1" x="259"/>
        <item m="1" x="275"/>
        <item m="1" x="757"/>
        <item m="1" x="343"/>
        <item m="1" x="829"/>
        <item m="1" x="411"/>
        <item m="1" x="881"/>
        <item m="1" x="720"/>
        <item m="1" x="282"/>
        <item m="1" x="760"/>
        <item m="1" x="775"/>
        <item m="1" x="366"/>
        <item m="1" x="413"/>
        <item m="1" x="430"/>
        <item m="1" x="445"/>
        <item m="1" x="333"/>
        <item m="1" x="819"/>
        <item m="1" x="835"/>
        <item m="1" x="887"/>
        <item m="1" x="427"/>
        <item m="1" x="440"/>
        <item m="1" x="467"/>
        <item m="1" x="53"/>
        <item m="1" x="481"/>
        <item m="1" x="442"/>
        <item m="1" x="30"/>
        <item m="1" x="40"/>
        <item m="1" x="461"/>
        <item m="1" x="472"/>
        <item m="1" x="56"/>
        <item m="1" x="576"/>
        <item m="1" x="588"/>
        <item m="1" x="502"/>
        <item m="1" x="104"/>
        <item m="1" x="117"/>
        <item m="1" x="543"/>
        <item m="1" x="606"/>
        <item m="1" x="67"/>
        <item m="1" x="77"/>
        <item m="1" x="509"/>
        <item m="1" x="557"/>
        <item m="1" x="592"/>
        <item m="1" x="628"/>
        <item m="1" x="108"/>
        <item m="1" x="118"/>
        <item m="1" x="559"/>
        <item m="1" x="142"/>
        <item m="1" x="582"/>
        <item m="1" x="609"/>
        <item m="1" x="632"/>
        <item m="1" x="670"/>
        <item m="1" x="688"/>
        <item m="1" x="268"/>
        <item m="1" x="112"/>
        <item m="1" x="565"/>
        <item m="1" x="172"/>
        <item m="1" x="200"/>
        <item m="1" x="214"/>
        <item m="1" x="235"/>
        <item m="1" x="731"/>
        <item m="1" x="752"/>
        <item m="1" x="147"/>
        <item m="1" x="193"/>
        <item m="1" x="733"/>
        <item m="1" x="770"/>
        <item m="1" x="341"/>
        <item m="1" x="809"/>
        <item m="1" x="618"/>
        <item m="1" x="308"/>
        <item m="1" x="811"/>
        <item m="1" x="657"/>
        <item m="1" x="772"/>
        <item m="1" x="323"/>
        <item m="1" x="813"/>
        <item m="1" x="840"/>
        <item m="1" x="659"/>
        <item m="1" x="261"/>
        <item m="1" x="279"/>
        <item m="1" x="300"/>
        <item m="1" x="326"/>
        <item m="1" x="364"/>
        <item m="1" x="830"/>
        <item m="1" x="375"/>
        <item m="1" x="412"/>
        <item m="1" x="724"/>
        <item m="1" x="302"/>
        <item m="1" x="328"/>
        <item m="1" x="347"/>
        <item m="1" x="386"/>
        <item m="1" x="403"/>
        <item m="1" x="869"/>
        <item m="1" x="438"/>
        <item m="1" x="444"/>
        <item m="1" x="747"/>
        <item m="1" x="316"/>
        <item m="1" x="369"/>
        <item m="1" x="832"/>
        <item m="1" x="416"/>
        <item m="1" x="886"/>
        <item m="1" x="21"/>
        <item m="1" x="446"/>
        <item m="1" x="370"/>
        <item m="1" x="456"/>
        <item m="1" x="54"/>
        <item m="1" x="59"/>
        <item m="1" x="492"/>
        <item m="1" x="41"/>
        <item m="1" x="57"/>
        <item m="1" x="92"/>
        <item m="1" x="521"/>
        <item m="1" x="542"/>
        <item m="1" x="554"/>
        <item m="1" x="577"/>
        <item m="1" x="589"/>
        <item m="1" x="164"/>
        <item m="1" x="66"/>
        <item m="1" x="495"/>
        <item m="1" x="76"/>
        <item m="1" x="503"/>
        <item m="1" x="530"/>
        <item m="1" x="579"/>
        <item m="1" x="626"/>
        <item m="1" x="505"/>
        <item m="1" x="94"/>
        <item m="1" x="141"/>
        <item m="1" x="608"/>
        <item m="1" x="232"/>
        <item m="1" x="545"/>
        <item m="1" x="212"/>
        <item m="1" x="730"/>
        <item m="1" x="549"/>
        <item m="1" x="613"/>
        <item m="1" x="192"/>
        <item m="1" x="634"/>
        <item m="1" x="237"/>
        <item m="1" x="708"/>
        <item m="1" x="294"/>
        <item m="1" x="769"/>
        <item m="1" x="635"/>
        <item m="1" x="203"/>
        <item m="1" x="651"/>
        <item m="1" x="675"/>
        <item m="1" x="253"/>
        <item m="1" x="159"/>
        <item m="1" x="653"/>
        <item m="1" x="678"/>
        <item m="1" x="735"/>
        <item m="1" x="789"/>
        <item m="1" x="342"/>
        <item m="1" x="839"/>
        <item m="1" x="621"/>
        <item m="1" x="637"/>
        <item m="1" x="224"/>
        <item m="1" x="260"/>
        <item m="1" x="276"/>
        <item m="1" x="384"/>
        <item m="1" x="868"/>
        <item m="1" x="882"/>
        <item m="1" x="227"/>
        <item m="1" x="721"/>
        <item m="1" x="793"/>
        <item m="1" x="367"/>
        <item m="1" x="843"/>
        <item m="1" x="9"/>
        <item m="1" x="745"/>
        <item m="1" x="776"/>
        <item m="1" x="349"/>
        <item m="1" x="870"/>
        <item m="1" x="432"/>
        <item m="1" x="439"/>
        <item m="1" x="24"/>
        <item m="1" x="353"/>
        <item m="1" x="836"/>
        <item m="1" x="857"/>
        <item m="1" x="428"/>
        <item m="1" x="23"/>
        <item m="1" x="455"/>
        <item m="1" x="779"/>
        <item m="1" x="335"/>
        <item m="1" x="848"/>
        <item m="1" x="407"/>
        <item m="1" x="449"/>
        <item m="1" x="458"/>
        <item m="1" x="60"/>
        <item m="1" x="474"/>
        <item m="1" x="80"/>
        <item m="1" x="529"/>
        <item m="1" x="555"/>
        <item m="1" x="137"/>
        <item m="1" x="590"/>
        <item m="1" x="165"/>
        <item m="1" x="475"/>
        <item m="1" x="504"/>
        <item m="1" x="82"/>
        <item m="1" x="106"/>
        <item m="1" x="184"/>
        <item m="1" x="629"/>
        <item m="1" x="86"/>
        <item m="1" x="96"/>
        <item m="1" x="143"/>
        <item m="1" x="593"/>
        <item m="1" x="187"/>
        <item m="1" x="647"/>
        <item m="1" x="233"/>
        <item m="1" x="689"/>
        <item m="1" x="88"/>
        <item m="1" x="99"/>
        <item m="1" x="524"/>
        <item m="1" x="113"/>
        <item m="1" x="566"/>
        <item m="1" x="201"/>
        <item m="1" x="690"/>
        <item m="1" x="251"/>
        <item m="1" x="707"/>
        <item m="1" x="732"/>
        <item m="1" x="293"/>
        <item m="1" x="526"/>
        <item m="1" x="114"/>
        <item m="1" x="538"/>
        <item m="1" x="120"/>
        <item m="1" x="148"/>
        <item m="1" x="156"/>
        <item m="1" x="711"/>
        <item m="1" x="271"/>
        <item m="1" x="295"/>
        <item m="1" x="306"/>
        <item m="1" x="771"/>
        <item m="1" x="131"/>
        <item m="1" x="619"/>
        <item m="1" x="677"/>
        <item m="1" x="694"/>
        <item m="1" x="255"/>
        <item m="1" x="273"/>
        <item m="1" x="812"/>
        <item m="1" x="362"/>
        <item m="1" x="161"/>
        <item m="1" x="181"/>
        <item m="1" x="195"/>
        <item m="1" x="207"/>
        <item m="1" x="221"/>
        <item m="1" x="696"/>
        <item m="1" x="324"/>
        <item m="1" x="791"/>
        <item m="1" x="841"/>
        <item m="1" x="624"/>
        <item m="1" x="660"/>
        <item m="1" x="682"/>
        <item m="1" x="246"/>
        <item m="1" x="697"/>
        <item m="1" x="280"/>
        <item m="1" x="741"/>
        <item m="1" x="758"/>
        <item m="1" x="344"/>
        <item m="1" x="814"/>
        <item m="1" x="376"/>
        <item m="1" x="853"/>
        <item m="1" x="884"/>
        <item m="1" x="661"/>
        <item m="1" x="700"/>
        <item m="1" x="725"/>
        <item m="1" x="743"/>
        <item m="1" x="762"/>
        <item m="1" x="329"/>
        <item m="1" x="348"/>
        <item m="1" x="815"/>
        <item m="1" x="378"/>
        <item m="1" x="885"/>
        <item m="1" x="10"/>
        <item m="1" x="431"/>
        <item m="1" x="702"/>
        <item m="1" x="287"/>
        <item m="1" x="777"/>
        <item m="1" x="332"/>
        <item m="1" x="833"/>
        <item m="1" x="379"/>
        <item m="1" x="856"/>
        <item m="1" x="404"/>
        <item m="1" x="426"/>
        <item m="1" x="22"/>
        <item m="1" x="765"/>
        <item m="1" x="799"/>
        <item m="1" x="847"/>
        <item m="1" x="859"/>
        <item m="1" x="874"/>
        <item m="1" x="12"/>
        <item m="1" x="448"/>
        <item m="1" x="457"/>
        <item m="1" x="780"/>
        <item m="1" x="336"/>
        <item m="1" x="823"/>
        <item m="1" x="861"/>
        <item m="1" x="420"/>
        <item m="1" x="450"/>
        <item m="1" x="48"/>
        <item m="1" x="488"/>
        <item m="1" x="81"/>
        <item m="1" x="522"/>
        <item m="1" x="531"/>
        <item m="1" x="556"/>
        <item m="1" x="139"/>
        <item m="1" x="591"/>
        <item m="1" x="627"/>
        <item m="1" x="49"/>
        <item m="1" x="69"/>
        <item m="1" x="84"/>
        <item m="1" x="95"/>
        <item m="1" x="581"/>
        <item m="1" x="185"/>
        <item m="1" x="631"/>
        <item m="1" x="490"/>
        <item m="1" x="512"/>
        <item m="1" x="154"/>
        <item m="1" x="611"/>
        <item m="1" x="213"/>
        <item m="1" x="234"/>
        <item m="1" x="515"/>
        <item m="1" x="215"/>
        <item m="1" x="709"/>
        <item m="1" x="539"/>
        <item m="1" x="551"/>
        <item m="1" x="570"/>
        <item m="1" x="616"/>
        <item m="1" x="204"/>
        <item m="1" x="652"/>
        <item m="1" x="219"/>
        <item m="1" x="240"/>
        <item m="1" x="296"/>
        <item m="1" x="307"/>
        <item m="1" x="322"/>
        <item m="1" x="571"/>
        <item m="1" x="160"/>
        <item m="1" x="601"/>
        <item m="1" x="180"/>
        <item m="1" x="654"/>
        <item m="1" x="679"/>
        <item m="1" x="274"/>
        <item m="1" x="736"/>
        <item m="1" x="585"/>
        <item m="1" x="622"/>
        <item m="1" x="196"/>
        <item m="1" x="717"/>
        <item m="1" x="298"/>
        <item m="1" x="312"/>
        <item m="1" x="374"/>
        <item m="1" x="228"/>
        <item m="1" x="248"/>
        <item m="1" x="722"/>
        <item m="1" x="283"/>
        <item m="1" x="742"/>
        <item m="1" x="301"/>
        <item m="1" x="794"/>
        <item m="1" x="663"/>
        <item m="1" x="684"/>
        <item m="1" x="314"/>
        <item m="1" x="796"/>
        <item m="1" x="334"/>
        <item m="1" x="354"/>
        <item m="1" x="381"/>
        <item m="1" x="389"/>
        <item m="1" x="858"/>
        <item m="1" x="871"/>
        <item m="1" x="434"/>
        <item m="1" x="447"/>
        <item m="1" x="767"/>
        <item m="1" x="317"/>
        <item m="1" x="800"/>
        <item m="1" x="821"/>
        <item m="1" x="849"/>
        <item m="1" x="391"/>
        <item m="1" x="860"/>
        <item m="1" x="418"/>
        <item m="1" x="468"/>
        <item m="1" x="781"/>
        <item m="1" x="803"/>
        <item m="1" x="837"/>
        <item m="1" x="891"/>
        <item m="1" x="34"/>
        <item m="1" x="55"/>
        <item m="1" x="482"/>
        <item m="1" x="61"/>
        <item m="1" x="72"/>
        <item m="1" x="42"/>
        <item m="1" x="463"/>
        <item m="1" x="476"/>
        <item m="1" x="68"/>
        <item m="1" x="107"/>
        <item m="1" x="558"/>
        <item m="1" x="167"/>
        <item m="1" x="630"/>
        <item m="1" x="489"/>
        <item m="1" x="78"/>
        <item m="1" x="119"/>
        <item m="1" x="560"/>
        <item m="1" x="153"/>
        <item m="1" x="188"/>
        <item m="1" x="497"/>
        <item m="1" x="537"/>
        <item m="1" x="190"/>
        <item m="1" x="649"/>
        <item m="1" x="691"/>
        <item m="1" x="115"/>
        <item m="1" x="598"/>
        <item m="1" x="176"/>
        <item m="1" x="650"/>
        <item m="1" x="672"/>
        <item m="1" x="712"/>
        <item m="1" x="122"/>
        <item m="1" x="158"/>
        <item m="1" x="179"/>
        <item m="1" x="695"/>
        <item m="1" x="256"/>
        <item m="1" x="714"/>
        <item m="1" x="753"/>
        <item m="1" x="309"/>
        <item m="1" x="553"/>
        <item m="1" x="134"/>
        <item m="1" x="572"/>
        <item m="1" x="182"/>
        <item m="1" x="658"/>
        <item m="1" x="222"/>
        <item m="1" x="258"/>
        <item m="1" x="755"/>
        <item m="1" x="310"/>
        <item m="1" x="325"/>
        <item m="1" x="586"/>
        <item m="1" x="225"/>
        <item m="1" x="698"/>
        <item m="1" x="365"/>
        <item m="1" x="842"/>
        <item m="1" x="385"/>
        <item m="1" x="625"/>
        <item m="1" x="640"/>
        <item m="1" x="662"/>
        <item m="1" x="683"/>
        <item m="1" x="726"/>
        <item m="1" x="330"/>
        <item m="1" x="816"/>
        <item m="1" x="368"/>
        <item m="1" x="831"/>
        <item m="1" x="844"/>
        <item m="1" x="387"/>
        <item m="1" x="854"/>
        <item m="1" x="664"/>
        <item m="1" x="685"/>
        <item m="1" x="263"/>
        <item m="1" x="728"/>
        <item m="1" x="748"/>
        <item m="1" x="764"/>
        <item m="1" x="846"/>
        <item m="1" x="417"/>
        <item m="1" x="11"/>
        <item m="1" x="704"/>
        <item m="1" x="749"/>
        <item m="1" x="303"/>
        <item m="1" x="382"/>
        <item m="1" x="406"/>
        <item m="1" x="875"/>
        <item m="1" x="888"/>
        <item m="1" x="13"/>
        <item m="1" x="436"/>
        <item m="1" x="25"/>
        <item m="1" x="318"/>
        <item m="1" x="337"/>
        <item m="1" x="393"/>
        <item m="1" x="43"/>
        <item m="1" x="850"/>
        <item m="1" x="17"/>
        <item m="1" x="28"/>
        <item m="1" x="35"/>
        <item m="1" x="73"/>
        <item m="1" x="464"/>
        <item m="1" x="477"/>
        <item m="1" x="506"/>
        <item m="1" x="85"/>
        <item m="1" x="510"/>
        <item m="1" x="127"/>
        <item m="1" x="168"/>
        <item m="1" x="478"/>
        <item m="1" x="70"/>
        <item m="1" x="513"/>
        <item m="1" x="110"/>
        <item m="1" x="536"/>
        <item m="1" x="546"/>
        <item m="1" x="129"/>
        <item m="1" x="562"/>
        <item m="1" x="101"/>
        <item m="1" x="525"/>
        <item m="1" x="568"/>
        <item m="1" x="614"/>
        <item m="1" x="202"/>
        <item m="1" x="693"/>
        <item m="1" x="710"/>
        <item m="1" x="89"/>
        <item m="1" x="149"/>
        <item m="1" x="617"/>
        <item m="1" x="194"/>
        <item m="1" x="676"/>
        <item m="1" x="272"/>
        <item m="1" x="527"/>
        <item m="1" x="123"/>
        <item m="1" x="133"/>
        <item m="1" x="602"/>
        <item m="1" x="206"/>
        <item m="1" x="737"/>
        <item m="1" x="573"/>
        <item m="1" x="151"/>
        <item m="1" x="638"/>
        <item m="1" x="277"/>
        <item m="1" x="299"/>
        <item m="1" x="792"/>
        <item m="1" x="363"/>
        <item m="1" x="229"/>
        <item m="1" x="723"/>
        <item m="1" x="346"/>
        <item m="1" x="377"/>
        <item m="1" x="642"/>
        <item m="1" x="208"/>
        <item m="1" x="230"/>
        <item m="1" x="286"/>
        <item m="1" x="746"/>
        <item m="1" x="763"/>
        <item m="1" x="315"/>
        <item m="1" x="797"/>
        <item m="1" x="350"/>
        <item m="1" x="415"/>
        <item m="1" x="666"/>
        <item m="1" x="703"/>
        <item m="1" x="288"/>
        <item m="1" x="872"/>
        <item m="1" x="435"/>
        <item m="1" x="265"/>
        <item m="1" x="801"/>
        <item m="1" x="392"/>
        <item m="1" x="876"/>
        <item m="1" x="419"/>
        <item m="1" x="32"/>
        <item m="1" x="750"/>
        <item m="1" x="355"/>
        <item m="1" x="395"/>
        <item m="1" x="862"/>
        <item m="1" x="877"/>
        <item m="1" x="44"/>
        <item m="1" x="469"/>
        <item m="1" x="783"/>
        <item m="1" x="339"/>
        <item m="1" x="804"/>
        <item m="1" x="36"/>
        <item m="1" x="483"/>
        <item m="1" x="493"/>
        <item m="1" x="50"/>
        <item m="1" x="496"/>
        <item m="1" x="79"/>
        <item m="1" x="507"/>
        <item m="1" x="511"/>
        <item m="1" x="97"/>
        <item m="1" x="535"/>
        <item m="1" x="144"/>
        <item m="1" x="594"/>
        <item m="1" x="170"/>
        <item m="1" x="633"/>
        <item m="1" x="51"/>
        <item m="1" x="58"/>
        <item m="1" x="498"/>
        <item m="1" x="514"/>
        <item m="1" x="100"/>
        <item m="1" x="596"/>
        <item m="1" x="173"/>
        <item m="1" x="499"/>
        <item m="1" x="508"/>
        <item m="1" x="550"/>
        <item m="1" x="130"/>
        <item m="1" x="569"/>
        <item m="1" x="217"/>
        <item m="1" x="673"/>
        <item m="1" x="713"/>
        <item m="1" x="91"/>
        <item m="1" x="516"/>
        <item m="1" x="132"/>
        <item m="1" x="600"/>
        <item m="1" x="715"/>
        <item m="1" x="135"/>
        <item m="1" x="620"/>
        <item m="1" x="636"/>
        <item m="1" x="223"/>
        <item m="1" x="244"/>
        <item m="1" x="739"/>
        <item m="1" x="756"/>
        <item m="1" x="311"/>
        <item m="1" x="773"/>
        <item m="1" x="226"/>
        <item m="1" x="247"/>
        <item m="1" x="281"/>
        <item m="1" x="759"/>
        <item m="1" x="327"/>
        <item m="1" x="345"/>
        <item m="1" x="604"/>
        <item m="1" x="198"/>
        <item m="1" x="641"/>
        <item m="1" x="701"/>
        <item m="1" x="727"/>
        <item m="1" x="285"/>
        <item m="1" x="744"/>
        <item m="1" x="845"/>
        <item m="1" x="855"/>
        <item m="1" x="209"/>
        <item m="1" x="665"/>
        <item m="1" x="264"/>
        <item m="1" x="798"/>
        <item m="1" x="818"/>
        <item m="1" x="834"/>
        <item m="1" x="380"/>
        <item m="1" x="388"/>
        <item m="1" x="405"/>
        <item m="1" x="667"/>
        <item m="1" x="766"/>
        <item m="1" x="778"/>
        <item m="1" x="820"/>
        <item m="1" x="390"/>
        <item m="1" x="889"/>
        <item m="1" x="14"/>
        <item m="1" x="266"/>
        <item m="1" x="290"/>
        <item m="1" x="319"/>
        <item m="1" x="338"/>
        <item m="1" x="824"/>
        <item m="1" x="371"/>
        <item m="1" x="394"/>
        <item m="1" x="16"/>
        <item m="1" x="26"/>
        <item m="1" x="33"/>
        <item m="1" x="768"/>
        <item m="1" x="357"/>
        <item m="1" x="372"/>
        <item m="1" x="396"/>
        <item m="1" x="864"/>
        <item m="1" x="422"/>
        <item m="1" x="18"/>
        <item m="1" x="451"/>
        <item m="1" x="459"/>
        <item m="1" x="784"/>
        <item m="1" x="806"/>
        <item m="1" x="358"/>
        <item m="1" x="866"/>
        <item m="1" x="423"/>
        <item m="1" x="429"/>
        <item m="1" x="441"/>
        <item m="1" x="37"/>
        <item m="1" x="45"/>
        <item m="1" x="484"/>
        <item m="1" x="62"/>
        <item m="1" x="443"/>
        <item m="1" x="31"/>
        <item m="1" x="479"/>
        <item m="1" x="491"/>
        <item m="1" x="87"/>
        <item m="1" x="98"/>
        <item m="1" x="111"/>
        <item m="1" x="547"/>
        <item m="1" x="563"/>
        <item m="1" x="155"/>
        <item m="1" x="171"/>
        <item m="1" x="465"/>
        <item m="1" x="175"/>
        <item m="1" x="71"/>
        <item m="1" x="500"/>
        <item m="1" x="90"/>
        <item m="1" x="102"/>
        <item m="1" x="121"/>
        <item m="1" x="157"/>
        <item m="1" x="599"/>
        <item m="1" x="178"/>
        <item m="1" x="241"/>
        <item m="1" x="517"/>
        <item m="1" x="540"/>
        <item m="1" x="124"/>
        <item m="1" x="552"/>
        <item m="1" x="150"/>
        <item m="1" x="584"/>
        <item m="1" x="603"/>
        <item m="1" x="655"/>
        <item m="1" x="242"/>
        <item m="1" x="257"/>
        <item m="1" x="297"/>
        <item m="1" x="528"/>
        <item m="1" x="116"/>
        <item m="1" x="574"/>
        <item m="1" x="623"/>
        <item m="1" x="639"/>
        <item m="1" x="245"/>
        <item m="1" x="718"/>
        <item m="1" x="278"/>
        <item m="1" x="313"/>
        <item m="1" x="774"/>
        <item m="1" x="136"/>
        <item m="1" x="575"/>
        <item m="1" x="197"/>
        <item m="1" x="699"/>
        <item m="1" x="262"/>
        <item m="1" x="284"/>
        <item m="1" x="761"/>
        <item m="1" x="795"/>
        <item m="1" x="162"/>
        <item m="1" x="605"/>
        <item m="1" x="331"/>
        <item m="1" x="351"/>
        <item m="1" x="817"/>
        <item m="1" x="289"/>
        <item m="1" x="873"/>
        <item m="1" x="686"/>
        <item m="1" x="802"/>
        <item m="1" x="822"/>
        <item m="1" x="890"/>
        <item m="1" x="15"/>
        <item m="1" x="705"/>
        <item m="1" x="729"/>
        <item m="1" x="291"/>
        <item m="1" x="320"/>
        <item m="1" x="782"/>
        <item m="1" x="356"/>
        <item m="1" x="825"/>
        <item m="1" x="863"/>
        <item m="1" x="408"/>
        <item m="1" x="878"/>
        <item m="1" x="421"/>
        <item m="1" x="27"/>
        <item m="1" x="304"/>
        <item m="1" x="805"/>
        <item m="1" x="826"/>
        <item m="1" x="373"/>
        <item m="1" x="851"/>
        <item m="1" x="397"/>
        <item m="1" x="865"/>
        <item m="1" x="879"/>
        <item m="1" x="19"/>
        <item m="1" x="437"/>
        <item m="1" x="452"/>
        <item m="1" x="470"/>
        <item m="1" x="340"/>
        <item m="1" x="807"/>
        <item m="1" x="359"/>
        <item m="1" x="398"/>
        <item m="1" x="424"/>
        <item m="1" x="892"/>
        <item m="1" x="20"/>
        <item m="1" x="453"/>
        <item m="1" x="38"/>
        <item m="1" x="46"/>
        <item m="1" x="485"/>
        <item m="1" x="63"/>
        <item x="7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14">
        <item x="1"/>
        <item x="8"/>
        <item x="11"/>
        <item x="6"/>
        <item x="3"/>
        <item x="4"/>
        <item x="9"/>
        <item x="5"/>
        <item x="0"/>
        <item x="2"/>
        <item x="10"/>
        <item x="7"/>
        <item x="12"/>
        <item t="default"/>
      </items>
    </pivotField>
    <pivotField showAll="0">
      <items count="14">
        <item x="9"/>
        <item x="6"/>
        <item x="5"/>
        <item x="3"/>
        <item x="4"/>
        <item x="1"/>
        <item x="2"/>
        <item x="11"/>
        <item x="10"/>
        <item x="7"/>
        <item x="8"/>
        <item x="0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9">
        <item x="5"/>
        <item x="3"/>
        <item x="6"/>
        <item x="1"/>
        <item x="4"/>
        <item x="2"/>
        <item x="0"/>
        <item x="7"/>
        <item t="default"/>
      </items>
    </pivotField>
    <pivotField axis="axisCol" showAll="0">
      <items count="4">
        <item x="1"/>
        <item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multipleItemSelectionAllowed="1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1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8"/>
  </colFields>
  <colItems count="3">
    <i>
      <x/>
    </i>
    <i>
      <x v="1"/>
    </i>
    <i t="grand">
      <x/>
    </i>
  </colItems>
  <dataFields count="1">
    <dataField name="Cuenta de RANGO ETAREO VIC." fld="17" subtotal="count" baseField="0" baseItem="0"/>
  </dataFields>
  <chartFormats count="2"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40EA54-66B4-44A3-9D9A-D426D1DC0588}" name="TablaDinámica5" cacheId="0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2" colHeaderCaption="">
  <location ref="A3:N17" firstHeaderRow="1" firstDataRow="2" firstDataCol="1"/>
  <pivotFields count="34"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894">
        <item x="0"/>
        <item x="3"/>
        <item x="4"/>
        <item x="1"/>
        <item x="5"/>
        <item x="6"/>
        <item x="2"/>
        <item m="1" x="29"/>
        <item m="1" x="454"/>
        <item m="1" x="39"/>
        <item m="1" x="74"/>
        <item m="1" x="501"/>
        <item m="1" x="518"/>
        <item m="1" x="103"/>
        <item m="1" x="471"/>
        <item m="1" x="486"/>
        <item m="1" x="519"/>
        <item m="1" x="541"/>
        <item m="1" x="125"/>
        <item m="1" x="587"/>
        <item m="1" x="183"/>
        <item m="1" x="64"/>
        <item m="1" x="644"/>
        <item m="1" x="210"/>
        <item m="1" x="249"/>
        <item m="1" x="93"/>
        <item m="1" x="532"/>
        <item m="1" x="166"/>
        <item m="1" x="607"/>
        <item m="1" x="668"/>
        <item m="1" x="231"/>
        <item m="1" x="250"/>
        <item m="1" x="534"/>
        <item m="1" x="128"/>
        <item m="1" x="169"/>
        <item m="1" x="186"/>
        <item m="1" x="646"/>
        <item m="1" x="669"/>
        <item m="1" x="267"/>
        <item m="1" x="321"/>
        <item m="1" x="785"/>
        <item m="1" x="564"/>
        <item m="1" x="145"/>
        <item m="1" x="583"/>
        <item m="1" x="189"/>
        <item m="1" x="269"/>
        <item m="1" x="292"/>
        <item m="1" x="787"/>
        <item m="1" x="615"/>
        <item m="1" x="216"/>
        <item m="1" x="238"/>
        <item m="1" x="252"/>
        <item m="1" x="270"/>
        <item m="1" x="360"/>
        <item m="1" x="838"/>
        <item m="1" x="254"/>
        <item m="1" x="734"/>
        <item m="1" x="828"/>
        <item m="1" x="399"/>
        <item m="1" x="409"/>
        <item m="1" x="880"/>
        <item m="1" x="656"/>
        <item m="1" x="220"/>
        <item m="1" x="680"/>
        <item m="1" x="243"/>
        <item m="1" x="716"/>
        <item m="1" x="738"/>
        <item m="1" x="754"/>
        <item m="1" x="790"/>
        <item m="1" x="383"/>
        <item m="1" x="867"/>
        <item m="1" x="410"/>
        <item m="1" x="8"/>
        <item m="1" x="719"/>
        <item m="1" x="740"/>
        <item m="1" x="401"/>
        <item m="1" x="883"/>
        <item m="1" x="402"/>
        <item m="1" x="414"/>
        <item m="1" x="352"/>
        <item m="1" x="425"/>
        <item m="1" x="433"/>
        <item m="1" x="466"/>
        <item m="1" x="52"/>
        <item m="1" x="480"/>
        <item m="1" x="460"/>
        <item m="1" x="494"/>
        <item m="1" x="152"/>
        <item m="1" x="462"/>
        <item m="1" x="47"/>
        <item m="1" x="473"/>
        <item m="1" x="75"/>
        <item m="1" x="520"/>
        <item m="1" x="126"/>
        <item m="1" x="163"/>
        <item m="1" x="643"/>
        <item m="1" x="487"/>
        <item m="1" x="65"/>
        <item m="1" x="105"/>
        <item m="1" x="138"/>
        <item m="1" x="578"/>
        <item m="1" x="211"/>
        <item m="1" x="706"/>
        <item m="1" x="83"/>
        <item m="1" x="523"/>
        <item m="1" x="533"/>
        <item m="1" x="140"/>
        <item m="1" x="580"/>
        <item m="1" x="199"/>
        <item m="1" x="645"/>
        <item m="1" x="687"/>
        <item m="1" x="109"/>
        <item m="1" x="544"/>
        <item m="1" x="561"/>
        <item m="1" x="595"/>
        <item m="1" x="610"/>
        <item m="1" x="648"/>
        <item m="1" x="671"/>
        <item m="1" x="751"/>
        <item m="1" x="305"/>
        <item m="1" x="786"/>
        <item m="1" x="548"/>
        <item m="1" x="567"/>
        <item m="1" x="146"/>
        <item m="1" x="597"/>
        <item m="1" x="174"/>
        <item m="1" x="612"/>
        <item m="1" x="191"/>
        <item m="1" x="236"/>
        <item m="1" x="692"/>
        <item m="1" x="808"/>
        <item m="1" x="177"/>
        <item m="1" x="218"/>
        <item m="1" x="674"/>
        <item m="1" x="239"/>
        <item m="1" x="810"/>
        <item m="1" x="361"/>
        <item m="1" x="827"/>
        <item m="1" x="205"/>
        <item m="1" x="788"/>
        <item m="1" x="852"/>
        <item m="1" x="400"/>
        <item m="1" x="681"/>
        <item m="1" x="259"/>
        <item m="1" x="275"/>
        <item m="1" x="757"/>
        <item m="1" x="343"/>
        <item m="1" x="829"/>
        <item m="1" x="411"/>
        <item m="1" x="881"/>
        <item m="1" x="720"/>
        <item m="1" x="282"/>
        <item m="1" x="760"/>
        <item m="1" x="775"/>
        <item m="1" x="366"/>
        <item m="1" x="413"/>
        <item m="1" x="430"/>
        <item m="1" x="445"/>
        <item m="1" x="333"/>
        <item m="1" x="819"/>
        <item m="1" x="835"/>
        <item m="1" x="887"/>
        <item m="1" x="427"/>
        <item m="1" x="440"/>
        <item m="1" x="467"/>
        <item m="1" x="53"/>
        <item m="1" x="481"/>
        <item m="1" x="442"/>
        <item m="1" x="30"/>
        <item m="1" x="40"/>
        <item m="1" x="461"/>
        <item m="1" x="472"/>
        <item m="1" x="56"/>
        <item m="1" x="576"/>
        <item m="1" x="588"/>
        <item m="1" x="502"/>
        <item m="1" x="104"/>
        <item m="1" x="117"/>
        <item m="1" x="543"/>
        <item m="1" x="606"/>
        <item m="1" x="67"/>
        <item m="1" x="77"/>
        <item m="1" x="509"/>
        <item m="1" x="557"/>
        <item m="1" x="592"/>
        <item m="1" x="628"/>
        <item m="1" x="108"/>
        <item m="1" x="118"/>
        <item m="1" x="559"/>
        <item m="1" x="142"/>
        <item m="1" x="582"/>
        <item m="1" x="609"/>
        <item m="1" x="632"/>
        <item m="1" x="670"/>
        <item m="1" x="688"/>
        <item m="1" x="268"/>
        <item m="1" x="112"/>
        <item m="1" x="565"/>
        <item m="1" x="172"/>
        <item m="1" x="200"/>
        <item m="1" x="214"/>
        <item m="1" x="235"/>
        <item m="1" x="731"/>
        <item m="1" x="752"/>
        <item m="1" x="147"/>
        <item m="1" x="193"/>
        <item m="1" x="733"/>
        <item m="1" x="770"/>
        <item m="1" x="341"/>
        <item m="1" x="809"/>
        <item m="1" x="618"/>
        <item m="1" x="308"/>
        <item m="1" x="811"/>
        <item m="1" x="657"/>
        <item m="1" x="772"/>
        <item m="1" x="323"/>
        <item m="1" x="813"/>
        <item m="1" x="840"/>
        <item m="1" x="659"/>
        <item m="1" x="261"/>
        <item m="1" x="279"/>
        <item m="1" x="300"/>
        <item m="1" x="326"/>
        <item m="1" x="364"/>
        <item m="1" x="830"/>
        <item m="1" x="375"/>
        <item m="1" x="412"/>
        <item m="1" x="724"/>
        <item m="1" x="302"/>
        <item m="1" x="328"/>
        <item m="1" x="347"/>
        <item m="1" x="386"/>
        <item m="1" x="403"/>
        <item m="1" x="869"/>
        <item m="1" x="438"/>
        <item m="1" x="444"/>
        <item m="1" x="747"/>
        <item m="1" x="316"/>
        <item m="1" x="369"/>
        <item m="1" x="832"/>
        <item m="1" x="416"/>
        <item m="1" x="886"/>
        <item m="1" x="21"/>
        <item m="1" x="446"/>
        <item m="1" x="370"/>
        <item m="1" x="456"/>
        <item m="1" x="54"/>
        <item m="1" x="59"/>
        <item m="1" x="492"/>
        <item m="1" x="41"/>
        <item m="1" x="57"/>
        <item m="1" x="92"/>
        <item m="1" x="521"/>
        <item m="1" x="542"/>
        <item m="1" x="554"/>
        <item m="1" x="577"/>
        <item m="1" x="589"/>
        <item m="1" x="164"/>
        <item m="1" x="66"/>
        <item m="1" x="495"/>
        <item m="1" x="76"/>
        <item m="1" x="503"/>
        <item m="1" x="530"/>
        <item m="1" x="579"/>
        <item m="1" x="626"/>
        <item m="1" x="505"/>
        <item m="1" x="94"/>
        <item m="1" x="141"/>
        <item m="1" x="608"/>
        <item m="1" x="232"/>
        <item m="1" x="545"/>
        <item m="1" x="212"/>
        <item m="1" x="730"/>
        <item m="1" x="549"/>
        <item m="1" x="613"/>
        <item m="1" x="192"/>
        <item m="1" x="634"/>
        <item m="1" x="237"/>
        <item m="1" x="708"/>
        <item m="1" x="294"/>
        <item m="1" x="769"/>
        <item m="1" x="635"/>
        <item m="1" x="203"/>
        <item m="1" x="651"/>
        <item m="1" x="675"/>
        <item m="1" x="253"/>
        <item m="1" x="159"/>
        <item m="1" x="653"/>
        <item m="1" x="678"/>
        <item m="1" x="735"/>
        <item m="1" x="789"/>
        <item m="1" x="342"/>
        <item m="1" x="839"/>
        <item m="1" x="621"/>
        <item m="1" x="637"/>
        <item m="1" x="224"/>
        <item m="1" x="260"/>
        <item m="1" x="276"/>
        <item m="1" x="384"/>
        <item m="1" x="868"/>
        <item m="1" x="882"/>
        <item m="1" x="227"/>
        <item m="1" x="721"/>
        <item m="1" x="793"/>
        <item m="1" x="367"/>
        <item m="1" x="843"/>
        <item m="1" x="9"/>
        <item m="1" x="745"/>
        <item m="1" x="776"/>
        <item m="1" x="349"/>
        <item m="1" x="870"/>
        <item m="1" x="432"/>
        <item m="1" x="439"/>
        <item m="1" x="24"/>
        <item m="1" x="353"/>
        <item m="1" x="836"/>
        <item m="1" x="857"/>
        <item m="1" x="428"/>
        <item m="1" x="23"/>
        <item m="1" x="455"/>
        <item m="1" x="779"/>
        <item m="1" x="335"/>
        <item m="1" x="848"/>
        <item m="1" x="407"/>
        <item m="1" x="449"/>
        <item m="1" x="458"/>
        <item m="1" x="60"/>
        <item m="1" x="474"/>
        <item m="1" x="80"/>
        <item m="1" x="529"/>
        <item m="1" x="555"/>
        <item m="1" x="137"/>
        <item m="1" x="590"/>
        <item m="1" x="165"/>
        <item m="1" x="475"/>
        <item m="1" x="504"/>
        <item m="1" x="82"/>
        <item m="1" x="106"/>
        <item m="1" x="184"/>
        <item m="1" x="629"/>
        <item m="1" x="86"/>
        <item m="1" x="96"/>
        <item m="1" x="143"/>
        <item m="1" x="593"/>
        <item m="1" x="187"/>
        <item m="1" x="647"/>
        <item m="1" x="233"/>
        <item m="1" x="689"/>
        <item m="1" x="88"/>
        <item m="1" x="99"/>
        <item m="1" x="524"/>
        <item m="1" x="113"/>
        <item m="1" x="566"/>
        <item m="1" x="201"/>
        <item m="1" x="690"/>
        <item m="1" x="251"/>
        <item m="1" x="707"/>
        <item m="1" x="732"/>
        <item m="1" x="293"/>
        <item m="1" x="526"/>
        <item m="1" x="114"/>
        <item m="1" x="538"/>
        <item m="1" x="120"/>
        <item m="1" x="148"/>
        <item m="1" x="156"/>
        <item m="1" x="711"/>
        <item m="1" x="271"/>
        <item m="1" x="295"/>
        <item m="1" x="306"/>
        <item m="1" x="771"/>
        <item m="1" x="131"/>
        <item m="1" x="619"/>
        <item m="1" x="677"/>
        <item m="1" x="694"/>
        <item m="1" x="255"/>
        <item m="1" x="273"/>
        <item m="1" x="812"/>
        <item m="1" x="362"/>
        <item m="1" x="161"/>
        <item m="1" x="181"/>
        <item m="1" x="195"/>
        <item m="1" x="207"/>
        <item m="1" x="221"/>
        <item m="1" x="696"/>
        <item m="1" x="324"/>
        <item m="1" x="791"/>
        <item m="1" x="841"/>
        <item m="1" x="624"/>
        <item m="1" x="660"/>
        <item m="1" x="682"/>
        <item m="1" x="246"/>
        <item m="1" x="697"/>
        <item m="1" x="280"/>
        <item m="1" x="741"/>
        <item m="1" x="758"/>
        <item m="1" x="344"/>
        <item m="1" x="814"/>
        <item m="1" x="376"/>
        <item m="1" x="853"/>
        <item m="1" x="884"/>
        <item m="1" x="661"/>
        <item m="1" x="700"/>
        <item m="1" x="725"/>
        <item m="1" x="743"/>
        <item m="1" x="762"/>
        <item m="1" x="329"/>
        <item m="1" x="348"/>
        <item m="1" x="815"/>
        <item m="1" x="378"/>
        <item m="1" x="885"/>
        <item m="1" x="10"/>
        <item m="1" x="431"/>
        <item m="1" x="702"/>
        <item m="1" x="287"/>
        <item m="1" x="777"/>
        <item m="1" x="332"/>
        <item m="1" x="833"/>
        <item m="1" x="379"/>
        <item m="1" x="856"/>
        <item m="1" x="404"/>
        <item m="1" x="426"/>
        <item m="1" x="22"/>
        <item m="1" x="765"/>
        <item m="1" x="799"/>
        <item m="1" x="847"/>
        <item m="1" x="859"/>
        <item m="1" x="874"/>
        <item m="1" x="12"/>
        <item m="1" x="448"/>
        <item m="1" x="457"/>
        <item m="1" x="780"/>
        <item m="1" x="336"/>
        <item m="1" x="823"/>
        <item m="1" x="861"/>
        <item m="1" x="420"/>
        <item m="1" x="450"/>
        <item m="1" x="48"/>
        <item m="1" x="488"/>
        <item m="1" x="81"/>
        <item m="1" x="522"/>
        <item m="1" x="531"/>
        <item m="1" x="556"/>
        <item m="1" x="139"/>
        <item m="1" x="591"/>
        <item m="1" x="627"/>
        <item m="1" x="49"/>
        <item m="1" x="69"/>
        <item m="1" x="84"/>
        <item m="1" x="95"/>
        <item m="1" x="581"/>
        <item m="1" x="185"/>
        <item m="1" x="631"/>
        <item m="1" x="490"/>
        <item m="1" x="512"/>
        <item m="1" x="154"/>
        <item m="1" x="611"/>
        <item m="1" x="213"/>
        <item m="1" x="234"/>
        <item m="1" x="515"/>
        <item m="1" x="215"/>
        <item m="1" x="709"/>
        <item m="1" x="539"/>
        <item m="1" x="551"/>
        <item m="1" x="570"/>
        <item m="1" x="616"/>
        <item m="1" x="204"/>
        <item m="1" x="652"/>
        <item m="1" x="219"/>
        <item m="1" x="240"/>
        <item m="1" x="296"/>
        <item m="1" x="307"/>
        <item m="1" x="322"/>
        <item m="1" x="571"/>
        <item m="1" x="160"/>
        <item m="1" x="601"/>
        <item m="1" x="180"/>
        <item m="1" x="654"/>
        <item m="1" x="679"/>
        <item m="1" x="274"/>
        <item m="1" x="736"/>
        <item m="1" x="585"/>
        <item m="1" x="622"/>
        <item m="1" x="196"/>
        <item m="1" x="717"/>
        <item m="1" x="298"/>
        <item m="1" x="312"/>
        <item m="1" x="374"/>
        <item m="1" x="228"/>
        <item m="1" x="248"/>
        <item m="1" x="722"/>
        <item m="1" x="283"/>
        <item m="1" x="742"/>
        <item m="1" x="301"/>
        <item m="1" x="794"/>
        <item m="1" x="663"/>
        <item m="1" x="684"/>
        <item m="1" x="314"/>
        <item m="1" x="796"/>
        <item m="1" x="334"/>
        <item m="1" x="354"/>
        <item m="1" x="381"/>
        <item m="1" x="389"/>
        <item m="1" x="858"/>
        <item m="1" x="871"/>
        <item m="1" x="434"/>
        <item m="1" x="447"/>
        <item m="1" x="767"/>
        <item m="1" x="317"/>
        <item m="1" x="800"/>
        <item m="1" x="821"/>
        <item m="1" x="849"/>
        <item m="1" x="391"/>
        <item m="1" x="860"/>
        <item m="1" x="418"/>
        <item m="1" x="468"/>
        <item m="1" x="781"/>
        <item m="1" x="803"/>
        <item m="1" x="837"/>
        <item m="1" x="891"/>
        <item m="1" x="34"/>
        <item m="1" x="55"/>
        <item m="1" x="482"/>
        <item m="1" x="61"/>
        <item m="1" x="72"/>
        <item m="1" x="42"/>
        <item m="1" x="463"/>
        <item m="1" x="476"/>
        <item m="1" x="68"/>
        <item m="1" x="107"/>
        <item m="1" x="558"/>
        <item m="1" x="167"/>
        <item m="1" x="630"/>
        <item m="1" x="489"/>
        <item m="1" x="78"/>
        <item m="1" x="119"/>
        <item m="1" x="560"/>
        <item m="1" x="153"/>
        <item m="1" x="188"/>
        <item m="1" x="497"/>
        <item m="1" x="537"/>
        <item m="1" x="190"/>
        <item m="1" x="649"/>
        <item m="1" x="691"/>
        <item m="1" x="115"/>
        <item m="1" x="598"/>
        <item m="1" x="176"/>
        <item m="1" x="650"/>
        <item m="1" x="672"/>
        <item m="1" x="712"/>
        <item m="1" x="122"/>
        <item m="1" x="158"/>
        <item m="1" x="179"/>
        <item m="1" x="695"/>
        <item m="1" x="256"/>
        <item m="1" x="714"/>
        <item m="1" x="753"/>
        <item m="1" x="309"/>
        <item m="1" x="553"/>
        <item m="1" x="134"/>
        <item m="1" x="572"/>
        <item m="1" x="182"/>
        <item m="1" x="658"/>
        <item m="1" x="222"/>
        <item m="1" x="258"/>
        <item m="1" x="755"/>
        <item m="1" x="310"/>
        <item m="1" x="325"/>
        <item m="1" x="586"/>
        <item m="1" x="225"/>
        <item m="1" x="698"/>
        <item m="1" x="365"/>
        <item m="1" x="842"/>
        <item m="1" x="385"/>
        <item m="1" x="625"/>
        <item m="1" x="640"/>
        <item m="1" x="662"/>
        <item m="1" x="683"/>
        <item m="1" x="726"/>
        <item m="1" x="330"/>
        <item m="1" x="816"/>
        <item m="1" x="368"/>
        <item m="1" x="831"/>
        <item m="1" x="844"/>
        <item m="1" x="387"/>
        <item m="1" x="854"/>
        <item m="1" x="664"/>
        <item m="1" x="685"/>
        <item m="1" x="263"/>
        <item m="1" x="728"/>
        <item m="1" x="748"/>
        <item m="1" x="764"/>
        <item m="1" x="846"/>
        <item m="1" x="417"/>
        <item m="1" x="11"/>
        <item m="1" x="704"/>
        <item m="1" x="749"/>
        <item m="1" x="303"/>
        <item m="1" x="382"/>
        <item m="1" x="406"/>
        <item m="1" x="875"/>
        <item m="1" x="888"/>
        <item m="1" x="13"/>
        <item m="1" x="436"/>
        <item m="1" x="25"/>
        <item m="1" x="318"/>
        <item m="1" x="337"/>
        <item m="1" x="393"/>
        <item m="1" x="43"/>
        <item m="1" x="850"/>
        <item m="1" x="17"/>
        <item m="1" x="28"/>
        <item m="1" x="35"/>
        <item m="1" x="73"/>
        <item m="1" x="464"/>
        <item m="1" x="477"/>
        <item m="1" x="506"/>
        <item m="1" x="85"/>
        <item m="1" x="510"/>
        <item m="1" x="127"/>
        <item m="1" x="168"/>
        <item m="1" x="478"/>
        <item m="1" x="70"/>
        <item m="1" x="513"/>
        <item m="1" x="110"/>
        <item m="1" x="536"/>
        <item m="1" x="546"/>
        <item m="1" x="129"/>
        <item m="1" x="562"/>
        <item m="1" x="101"/>
        <item m="1" x="525"/>
        <item m="1" x="568"/>
        <item m="1" x="614"/>
        <item m="1" x="202"/>
        <item m="1" x="693"/>
        <item m="1" x="710"/>
        <item m="1" x="89"/>
        <item m="1" x="149"/>
        <item m="1" x="617"/>
        <item m="1" x="194"/>
        <item m="1" x="676"/>
        <item m="1" x="272"/>
        <item m="1" x="527"/>
        <item m="1" x="123"/>
        <item m="1" x="133"/>
        <item m="1" x="602"/>
        <item m="1" x="206"/>
        <item m="1" x="737"/>
        <item m="1" x="573"/>
        <item m="1" x="151"/>
        <item m="1" x="638"/>
        <item m="1" x="277"/>
        <item m="1" x="299"/>
        <item m="1" x="792"/>
        <item m="1" x="363"/>
        <item m="1" x="229"/>
        <item m="1" x="723"/>
        <item m="1" x="346"/>
        <item m="1" x="377"/>
        <item m="1" x="642"/>
        <item m="1" x="208"/>
        <item m="1" x="230"/>
        <item m="1" x="286"/>
        <item m="1" x="746"/>
        <item m="1" x="763"/>
        <item m="1" x="315"/>
        <item m="1" x="797"/>
        <item m="1" x="350"/>
        <item m="1" x="415"/>
        <item m="1" x="666"/>
        <item m="1" x="703"/>
        <item m="1" x="288"/>
        <item m="1" x="872"/>
        <item m="1" x="435"/>
        <item m="1" x="265"/>
        <item m="1" x="801"/>
        <item m="1" x="392"/>
        <item m="1" x="876"/>
        <item m="1" x="419"/>
        <item m="1" x="32"/>
        <item m="1" x="750"/>
        <item m="1" x="355"/>
        <item m="1" x="395"/>
        <item m="1" x="862"/>
        <item m="1" x="877"/>
        <item m="1" x="44"/>
        <item m="1" x="469"/>
        <item m="1" x="783"/>
        <item m="1" x="339"/>
        <item m="1" x="804"/>
        <item m="1" x="36"/>
        <item m="1" x="483"/>
        <item m="1" x="493"/>
        <item m="1" x="50"/>
        <item m="1" x="496"/>
        <item m="1" x="79"/>
        <item m="1" x="507"/>
        <item m="1" x="511"/>
        <item m="1" x="97"/>
        <item m="1" x="535"/>
        <item m="1" x="144"/>
        <item m="1" x="594"/>
        <item m="1" x="170"/>
        <item m="1" x="633"/>
        <item m="1" x="51"/>
        <item m="1" x="58"/>
        <item m="1" x="498"/>
        <item m="1" x="514"/>
        <item m="1" x="100"/>
        <item m="1" x="596"/>
        <item m="1" x="173"/>
        <item m="1" x="499"/>
        <item m="1" x="508"/>
        <item m="1" x="550"/>
        <item m="1" x="130"/>
        <item m="1" x="569"/>
        <item m="1" x="217"/>
        <item m="1" x="673"/>
        <item m="1" x="713"/>
        <item m="1" x="91"/>
        <item m="1" x="516"/>
        <item m="1" x="132"/>
        <item m="1" x="600"/>
        <item m="1" x="715"/>
        <item m="1" x="135"/>
        <item m="1" x="620"/>
        <item m="1" x="636"/>
        <item m="1" x="223"/>
        <item m="1" x="244"/>
        <item m="1" x="739"/>
        <item m="1" x="756"/>
        <item m="1" x="311"/>
        <item m="1" x="773"/>
        <item m="1" x="226"/>
        <item m="1" x="247"/>
        <item m="1" x="281"/>
        <item m="1" x="759"/>
        <item m="1" x="327"/>
        <item m="1" x="345"/>
        <item m="1" x="604"/>
        <item m="1" x="198"/>
        <item m="1" x="641"/>
        <item m="1" x="701"/>
        <item m="1" x="727"/>
        <item m="1" x="285"/>
        <item m="1" x="744"/>
        <item m="1" x="845"/>
        <item m="1" x="855"/>
        <item m="1" x="209"/>
        <item m="1" x="665"/>
        <item m="1" x="264"/>
        <item m="1" x="798"/>
        <item m="1" x="818"/>
        <item m="1" x="834"/>
        <item m="1" x="380"/>
        <item m="1" x="388"/>
        <item m="1" x="405"/>
        <item m="1" x="667"/>
        <item m="1" x="766"/>
        <item m="1" x="778"/>
        <item m="1" x="820"/>
        <item m="1" x="390"/>
        <item m="1" x="889"/>
        <item m="1" x="14"/>
        <item m="1" x="266"/>
        <item m="1" x="290"/>
        <item m="1" x="319"/>
        <item m="1" x="338"/>
        <item m="1" x="824"/>
        <item m="1" x="371"/>
        <item m="1" x="394"/>
        <item m="1" x="16"/>
        <item m="1" x="26"/>
        <item m="1" x="33"/>
        <item m="1" x="768"/>
        <item m="1" x="357"/>
        <item m="1" x="372"/>
        <item m="1" x="396"/>
        <item m="1" x="864"/>
        <item m="1" x="422"/>
        <item m="1" x="18"/>
        <item m="1" x="451"/>
        <item m="1" x="459"/>
        <item m="1" x="784"/>
        <item m="1" x="806"/>
        <item m="1" x="358"/>
        <item m="1" x="866"/>
        <item m="1" x="423"/>
        <item m="1" x="429"/>
        <item m="1" x="441"/>
        <item m="1" x="37"/>
        <item m="1" x="45"/>
        <item m="1" x="484"/>
        <item m="1" x="62"/>
        <item m="1" x="443"/>
        <item m="1" x="31"/>
        <item m="1" x="479"/>
        <item m="1" x="491"/>
        <item m="1" x="87"/>
        <item m="1" x="98"/>
        <item m="1" x="111"/>
        <item m="1" x="547"/>
        <item m="1" x="563"/>
        <item m="1" x="155"/>
        <item m="1" x="171"/>
        <item m="1" x="465"/>
        <item m="1" x="175"/>
        <item m="1" x="71"/>
        <item m="1" x="500"/>
        <item m="1" x="90"/>
        <item m="1" x="102"/>
        <item m="1" x="121"/>
        <item m="1" x="157"/>
        <item m="1" x="599"/>
        <item m="1" x="178"/>
        <item m="1" x="241"/>
        <item m="1" x="517"/>
        <item m="1" x="540"/>
        <item m="1" x="124"/>
        <item m="1" x="552"/>
        <item m="1" x="150"/>
        <item m="1" x="584"/>
        <item m="1" x="603"/>
        <item m="1" x="655"/>
        <item m="1" x="242"/>
        <item m="1" x="257"/>
        <item m="1" x="297"/>
        <item m="1" x="528"/>
        <item m="1" x="116"/>
        <item m="1" x="574"/>
        <item m="1" x="623"/>
        <item m="1" x="639"/>
        <item m="1" x="245"/>
        <item m="1" x="718"/>
        <item m="1" x="278"/>
        <item m="1" x="313"/>
        <item m="1" x="774"/>
        <item m="1" x="136"/>
        <item m="1" x="575"/>
        <item m="1" x="197"/>
        <item m="1" x="699"/>
        <item m="1" x="262"/>
        <item m="1" x="284"/>
        <item m="1" x="761"/>
        <item m="1" x="795"/>
        <item m="1" x="162"/>
        <item m="1" x="605"/>
        <item m="1" x="331"/>
        <item m="1" x="351"/>
        <item m="1" x="817"/>
        <item m="1" x="289"/>
        <item m="1" x="873"/>
        <item m="1" x="686"/>
        <item m="1" x="802"/>
        <item m="1" x="822"/>
        <item m="1" x="890"/>
        <item m="1" x="15"/>
        <item m="1" x="705"/>
        <item m="1" x="729"/>
        <item m="1" x="291"/>
        <item m="1" x="320"/>
        <item m="1" x="782"/>
        <item m="1" x="356"/>
        <item m="1" x="825"/>
        <item m="1" x="863"/>
        <item m="1" x="408"/>
        <item m="1" x="878"/>
        <item m="1" x="421"/>
        <item m="1" x="27"/>
        <item m="1" x="304"/>
        <item m="1" x="805"/>
        <item m="1" x="826"/>
        <item m="1" x="373"/>
        <item m="1" x="851"/>
        <item m="1" x="397"/>
        <item m="1" x="865"/>
        <item m="1" x="879"/>
        <item m="1" x="19"/>
        <item m="1" x="437"/>
        <item m="1" x="452"/>
        <item m="1" x="470"/>
        <item m="1" x="340"/>
        <item m="1" x="807"/>
        <item m="1" x="359"/>
        <item m="1" x="398"/>
        <item m="1" x="424"/>
        <item m="1" x="892"/>
        <item m="1" x="20"/>
        <item m="1" x="453"/>
        <item m="1" x="38"/>
        <item m="1" x="46"/>
        <item m="1" x="485"/>
        <item m="1" x="63"/>
        <item x="7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dataField="1" showAll="0">
      <items count="14">
        <item x="1"/>
        <item x="8"/>
        <item x="11"/>
        <item x="6"/>
        <item x="3"/>
        <item x="4"/>
        <item x="9"/>
        <item x="5"/>
        <item x="0"/>
        <item x="2"/>
        <item x="10"/>
        <item x="7"/>
        <item x="12"/>
        <item t="default"/>
      </items>
    </pivotField>
    <pivotField showAll="0">
      <items count="14">
        <item x="9"/>
        <item x="6"/>
        <item x="5"/>
        <item x="3"/>
        <item x="4"/>
        <item x="1"/>
        <item x="2"/>
        <item x="11"/>
        <item x="10"/>
        <item x="7"/>
        <item x="8"/>
        <item x="0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6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3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. Tipo de delito" fld="6" subtotal="count" baseField="0" baseItem="0"/>
  </dataFields>
  <chartFormats count="13">
    <chartFormat chart="3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3" format="14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3" format="14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14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14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" format="14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3" format="14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3" format="15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3" format="15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3" format="15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3" format="15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3" format="15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8AE40-B4E5-483B-B4E8-C79B6E334DB7}" name="TablaDiná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A1:O11" firstHeaderRow="1" firstDataRow="2" firstDataCol="1"/>
  <pivotFields count="34"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 sortType="ascending" defaultSubtotal="0">
      <items count="893">
        <item x="0"/>
        <item x="3"/>
        <item x="4"/>
        <item x="1"/>
        <item x="5"/>
        <item x="6"/>
        <item x="2"/>
        <item m="1" x="29"/>
        <item m="1" x="454"/>
        <item m="1" x="39"/>
        <item m="1" x="74"/>
        <item m="1" x="501"/>
        <item m="1" x="518"/>
        <item m="1" x="103"/>
        <item m="1" x="471"/>
        <item m="1" x="486"/>
        <item m="1" x="519"/>
        <item m="1" x="541"/>
        <item m="1" x="125"/>
        <item m="1" x="587"/>
        <item m="1" x="183"/>
        <item m="1" x="64"/>
        <item m="1" x="644"/>
        <item m="1" x="210"/>
        <item m="1" x="249"/>
        <item m="1" x="93"/>
        <item m="1" x="532"/>
        <item m="1" x="166"/>
        <item m="1" x="607"/>
        <item m="1" x="668"/>
        <item m="1" x="231"/>
        <item m="1" x="250"/>
        <item m="1" x="534"/>
        <item m="1" x="128"/>
        <item m="1" x="169"/>
        <item m="1" x="186"/>
        <item m="1" x="646"/>
        <item m="1" x="669"/>
        <item m="1" x="267"/>
        <item m="1" x="321"/>
        <item m="1" x="785"/>
        <item m="1" x="564"/>
        <item m="1" x="145"/>
        <item m="1" x="583"/>
        <item m="1" x="189"/>
        <item m="1" x="269"/>
        <item m="1" x="292"/>
        <item m="1" x="787"/>
        <item m="1" x="615"/>
        <item m="1" x="216"/>
        <item m="1" x="238"/>
        <item m="1" x="252"/>
        <item m="1" x="270"/>
        <item m="1" x="360"/>
        <item m="1" x="838"/>
        <item m="1" x="254"/>
        <item m="1" x="734"/>
        <item m="1" x="828"/>
        <item m="1" x="399"/>
        <item m="1" x="409"/>
        <item m="1" x="880"/>
        <item m="1" x="656"/>
        <item m="1" x="220"/>
        <item m="1" x="680"/>
        <item m="1" x="243"/>
        <item m="1" x="716"/>
        <item m="1" x="738"/>
        <item m="1" x="754"/>
        <item m="1" x="790"/>
        <item m="1" x="383"/>
        <item m="1" x="867"/>
        <item m="1" x="410"/>
        <item m="1" x="8"/>
        <item m="1" x="719"/>
        <item m="1" x="740"/>
        <item m="1" x="401"/>
        <item m="1" x="883"/>
        <item m="1" x="402"/>
        <item m="1" x="414"/>
        <item m="1" x="352"/>
        <item m="1" x="425"/>
        <item m="1" x="433"/>
        <item m="1" x="466"/>
        <item m="1" x="52"/>
        <item m="1" x="480"/>
        <item m="1" x="460"/>
        <item m="1" x="494"/>
        <item m="1" x="152"/>
        <item m="1" x="462"/>
        <item m="1" x="47"/>
        <item m="1" x="473"/>
        <item m="1" x="75"/>
        <item m="1" x="520"/>
        <item m="1" x="126"/>
        <item m="1" x="163"/>
        <item m="1" x="643"/>
        <item m="1" x="487"/>
        <item m="1" x="65"/>
        <item m="1" x="105"/>
        <item m="1" x="138"/>
        <item m="1" x="578"/>
        <item m="1" x="211"/>
        <item m="1" x="706"/>
        <item m="1" x="83"/>
        <item m="1" x="523"/>
        <item m="1" x="533"/>
        <item m="1" x="140"/>
        <item m="1" x="580"/>
        <item m="1" x="199"/>
        <item m="1" x="645"/>
        <item m="1" x="687"/>
        <item m="1" x="109"/>
        <item m="1" x="544"/>
        <item m="1" x="561"/>
        <item m="1" x="595"/>
        <item m="1" x="610"/>
        <item m="1" x="648"/>
        <item m="1" x="671"/>
        <item m="1" x="751"/>
        <item m="1" x="305"/>
        <item m="1" x="786"/>
        <item m="1" x="548"/>
        <item m="1" x="567"/>
        <item m="1" x="146"/>
        <item m="1" x="597"/>
        <item m="1" x="174"/>
        <item m="1" x="612"/>
        <item m="1" x="191"/>
        <item m="1" x="236"/>
        <item m="1" x="692"/>
        <item m="1" x="808"/>
        <item m="1" x="177"/>
        <item m="1" x="218"/>
        <item m="1" x="674"/>
        <item m="1" x="239"/>
        <item m="1" x="810"/>
        <item m="1" x="361"/>
        <item m="1" x="827"/>
        <item m="1" x="205"/>
        <item m="1" x="788"/>
        <item m="1" x="852"/>
        <item m="1" x="400"/>
        <item m="1" x="681"/>
        <item m="1" x="259"/>
        <item m="1" x="275"/>
        <item m="1" x="757"/>
        <item m="1" x="343"/>
        <item m="1" x="829"/>
        <item m="1" x="411"/>
        <item m="1" x="881"/>
        <item m="1" x="720"/>
        <item m="1" x="282"/>
        <item m="1" x="760"/>
        <item m="1" x="775"/>
        <item m="1" x="366"/>
        <item m="1" x="413"/>
        <item m="1" x="430"/>
        <item m="1" x="445"/>
        <item m="1" x="333"/>
        <item m="1" x="819"/>
        <item m="1" x="835"/>
        <item m="1" x="887"/>
        <item m="1" x="427"/>
        <item m="1" x="440"/>
        <item m="1" x="467"/>
        <item m="1" x="53"/>
        <item m="1" x="481"/>
        <item m="1" x="442"/>
        <item m="1" x="30"/>
        <item m="1" x="40"/>
        <item m="1" x="461"/>
        <item m="1" x="472"/>
        <item m="1" x="56"/>
        <item m="1" x="576"/>
        <item m="1" x="588"/>
        <item m="1" x="502"/>
        <item m="1" x="104"/>
        <item m="1" x="117"/>
        <item m="1" x="543"/>
        <item m="1" x="606"/>
        <item m="1" x="67"/>
        <item m="1" x="77"/>
        <item m="1" x="509"/>
        <item m="1" x="557"/>
        <item m="1" x="592"/>
        <item m="1" x="628"/>
        <item m="1" x="108"/>
        <item m="1" x="118"/>
        <item m="1" x="559"/>
        <item m="1" x="142"/>
        <item m="1" x="582"/>
        <item m="1" x="609"/>
        <item m="1" x="632"/>
        <item m="1" x="670"/>
        <item m="1" x="688"/>
        <item m="1" x="268"/>
        <item m="1" x="112"/>
        <item m="1" x="565"/>
        <item m="1" x="172"/>
        <item m="1" x="200"/>
        <item m="1" x="214"/>
        <item m="1" x="235"/>
        <item m="1" x="731"/>
        <item m="1" x="752"/>
        <item m="1" x="147"/>
        <item m="1" x="193"/>
        <item m="1" x="733"/>
        <item m="1" x="770"/>
        <item m="1" x="341"/>
        <item m="1" x="809"/>
        <item m="1" x="618"/>
        <item m="1" x="308"/>
        <item m="1" x="811"/>
        <item m="1" x="657"/>
        <item m="1" x="772"/>
        <item m="1" x="323"/>
        <item m="1" x="813"/>
        <item m="1" x="840"/>
        <item m="1" x="659"/>
        <item m="1" x="261"/>
        <item m="1" x="279"/>
        <item m="1" x="300"/>
        <item m="1" x="326"/>
        <item m="1" x="364"/>
        <item m="1" x="830"/>
        <item m="1" x="375"/>
        <item m="1" x="412"/>
        <item m="1" x="724"/>
        <item m="1" x="302"/>
        <item m="1" x="328"/>
        <item m="1" x="347"/>
        <item m="1" x="386"/>
        <item m="1" x="403"/>
        <item m="1" x="869"/>
        <item m="1" x="438"/>
        <item m="1" x="444"/>
        <item m="1" x="747"/>
        <item m="1" x="316"/>
        <item m="1" x="369"/>
        <item m="1" x="832"/>
        <item m="1" x="416"/>
        <item m="1" x="886"/>
        <item m="1" x="21"/>
        <item m="1" x="446"/>
        <item m="1" x="370"/>
        <item m="1" x="456"/>
        <item m="1" x="54"/>
        <item m="1" x="59"/>
        <item m="1" x="492"/>
        <item m="1" x="41"/>
        <item m="1" x="57"/>
        <item m="1" x="92"/>
        <item m="1" x="521"/>
        <item m="1" x="542"/>
        <item m="1" x="554"/>
        <item m="1" x="577"/>
        <item m="1" x="589"/>
        <item m="1" x="164"/>
        <item m="1" x="66"/>
        <item m="1" x="495"/>
        <item m="1" x="76"/>
        <item m="1" x="503"/>
        <item m="1" x="530"/>
        <item m="1" x="579"/>
        <item m="1" x="626"/>
        <item m="1" x="505"/>
        <item m="1" x="94"/>
        <item m="1" x="141"/>
        <item m="1" x="608"/>
        <item m="1" x="232"/>
        <item m="1" x="545"/>
        <item m="1" x="212"/>
        <item m="1" x="730"/>
        <item m="1" x="549"/>
        <item m="1" x="613"/>
        <item m="1" x="192"/>
        <item m="1" x="634"/>
        <item m="1" x="237"/>
        <item m="1" x="708"/>
        <item m="1" x="294"/>
        <item m="1" x="769"/>
        <item m="1" x="635"/>
        <item m="1" x="203"/>
        <item m="1" x="651"/>
        <item m="1" x="675"/>
        <item m="1" x="253"/>
        <item m="1" x="159"/>
        <item m="1" x="653"/>
        <item m="1" x="678"/>
        <item m="1" x="735"/>
        <item m="1" x="789"/>
        <item m="1" x="342"/>
        <item m="1" x="839"/>
        <item m="1" x="621"/>
        <item m="1" x="637"/>
        <item m="1" x="224"/>
        <item m="1" x="260"/>
        <item m="1" x="276"/>
        <item m="1" x="384"/>
        <item m="1" x="868"/>
        <item m="1" x="882"/>
        <item m="1" x="227"/>
        <item m="1" x="721"/>
        <item m="1" x="793"/>
        <item m="1" x="367"/>
        <item m="1" x="843"/>
        <item m="1" x="9"/>
        <item m="1" x="745"/>
        <item m="1" x="776"/>
        <item m="1" x="349"/>
        <item m="1" x="870"/>
        <item m="1" x="432"/>
        <item m="1" x="439"/>
        <item m="1" x="24"/>
        <item m="1" x="353"/>
        <item m="1" x="836"/>
        <item m="1" x="857"/>
        <item m="1" x="428"/>
        <item m="1" x="23"/>
        <item m="1" x="455"/>
        <item m="1" x="779"/>
        <item m="1" x="335"/>
        <item m="1" x="848"/>
        <item m="1" x="407"/>
        <item m="1" x="449"/>
        <item m="1" x="458"/>
        <item m="1" x="60"/>
        <item m="1" x="474"/>
        <item m="1" x="80"/>
        <item m="1" x="529"/>
        <item m="1" x="555"/>
        <item m="1" x="137"/>
        <item m="1" x="590"/>
        <item m="1" x="165"/>
        <item m="1" x="475"/>
        <item m="1" x="504"/>
        <item m="1" x="82"/>
        <item m="1" x="106"/>
        <item m="1" x="184"/>
        <item m="1" x="629"/>
        <item m="1" x="86"/>
        <item m="1" x="96"/>
        <item m="1" x="143"/>
        <item m="1" x="593"/>
        <item m="1" x="187"/>
        <item m="1" x="647"/>
        <item m="1" x="233"/>
        <item m="1" x="689"/>
        <item m="1" x="88"/>
        <item m="1" x="99"/>
        <item m="1" x="524"/>
        <item m="1" x="113"/>
        <item m="1" x="566"/>
        <item m="1" x="201"/>
        <item m="1" x="690"/>
        <item m="1" x="251"/>
        <item m="1" x="707"/>
        <item m="1" x="732"/>
        <item m="1" x="293"/>
        <item m="1" x="526"/>
        <item m="1" x="114"/>
        <item m="1" x="538"/>
        <item m="1" x="120"/>
        <item m="1" x="148"/>
        <item m="1" x="156"/>
        <item m="1" x="711"/>
        <item m="1" x="271"/>
        <item m="1" x="295"/>
        <item m="1" x="306"/>
        <item m="1" x="771"/>
        <item m="1" x="131"/>
        <item m="1" x="619"/>
        <item m="1" x="677"/>
        <item m="1" x="694"/>
        <item m="1" x="255"/>
        <item m="1" x="273"/>
        <item m="1" x="812"/>
        <item m="1" x="362"/>
        <item m="1" x="161"/>
        <item m="1" x="181"/>
        <item m="1" x="195"/>
        <item m="1" x="207"/>
        <item m="1" x="221"/>
        <item m="1" x="696"/>
        <item m="1" x="324"/>
        <item m="1" x="791"/>
        <item m="1" x="841"/>
        <item m="1" x="624"/>
        <item m="1" x="660"/>
        <item m="1" x="682"/>
        <item m="1" x="246"/>
        <item m="1" x="697"/>
        <item m="1" x="280"/>
        <item m="1" x="741"/>
        <item m="1" x="758"/>
        <item m="1" x="344"/>
        <item m="1" x="814"/>
        <item m="1" x="376"/>
        <item m="1" x="853"/>
        <item m="1" x="884"/>
        <item m="1" x="661"/>
        <item m="1" x="700"/>
        <item m="1" x="725"/>
        <item m="1" x="743"/>
        <item m="1" x="762"/>
        <item m="1" x="329"/>
        <item m="1" x="348"/>
        <item m="1" x="815"/>
        <item m="1" x="378"/>
        <item m="1" x="885"/>
        <item m="1" x="10"/>
        <item m="1" x="431"/>
        <item m="1" x="702"/>
        <item m="1" x="287"/>
        <item m="1" x="777"/>
        <item m="1" x="332"/>
        <item m="1" x="833"/>
        <item m="1" x="379"/>
        <item m="1" x="856"/>
        <item m="1" x="404"/>
        <item m="1" x="426"/>
        <item m="1" x="22"/>
        <item m="1" x="765"/>
        <item m="1" x="799"/>
        <item m="1" x="847"/>
        <item m="1" x="859"/>
        <item m="1" x="874"/>
        <item m="1" x="12"/>
        <item m="1" x="448"/>
        <item m="1" x="457"/>
        <item m="1" x="780"/>
        <item m="1" x="336"/>
        <item m="1" x="823"/>
        <item m="1" x="861"/>
        <item m="1" x="420"/>
        <item m="1" x="450"/>
        <item m="1" x="48"/>
        <item m="1" x="488"/>
        <item m="1" x="81"/>
        <item m="1" x="522"/>
        <item m="1" x="531"/>
        <item m="1" x="556"/>
        <item m="1" x="139"/>
        <item m="1" x="591"/>
        <item m="1" x="627"/>
        <item m="1" x="49"/>
        <item m="1" x="69"/>
        <item m="1" x="84"/>
        <item m="1" x="95"/>
        <item m="1" x="581"/>
        <item m="1" x="185"/>
        <item m="1" x="631"/>
        <item m="1" x="490"/>
        <item m="1" x="512"/>
        <item m="1" x="154"/>
        <item m="1" x="611"/>
        <item m="1" x="213"/>
        <item m="1" x="234"/>
        <item m="1" x="515"/>
        <item m="1" x="215"/>
        <item m="1" x="709"/>
        <item m="1" x="539"/>
        <item m="1" x="551"/>
        <item m="1" x="570"/>
        <item m="1" x="616"/>
        <item m="1" x="204"/>
        <item m="1" x="652"/>
        <item m="1" x="219"/>
        <item m="1" x="240"/>
        <item m="1" x="296"/>
        <item m="1" x="307"/>
        <item m="1" x="322"/>
        <item m="1" x="571"/>
        <item m="1" x="160"/>
        <item m="1" x="601"/>
        <item m="1" x="180"/>
        <item m="1" x="654"/>
        <item m="1" x="679"/>
        <item m="1" x="274"/>
        <item m="1" x="736"/>
        <item m="1" x="585"/>
        <item m="1" x="622"/>
        <item m="1" x="196"/>
        <item m="1" x="717"/>
        <item m="1" x="298"/>
        <item m="1" x="312"/>
        <item m="1" x="374"/>
        <item m="1" x="228"/>
        <item m="1" x="248"/>
        <item m="1" x="722"/>
        <item m="1" x="283"/>
        <item m="1" x="742"/>
        <item m="1" x="301"/>
        <item m="1" x="794"/>
        <item m="1" x="663"/>
        <item m="1" x="684"/>
        <item m="1" x="314"/>
        <item m="1" x="796"/>
        <item m="1" x="334"/>
        <item m="1" x="354"/>
        <item m="1" x="381"/>
        <item m="1" x="389"/>
        <item m="1" x="858"/>
        <item m="1" x="871"/>
        <item m="1" x="434"/>
        <item m="1" x="447"/>
        <item m="1" x="767"/>
        <item m="1" x="317"/>
        <item m="1" x="800"/>
        <item m="1" x="821"/>
        <item m="1" x="849"/>
        <item m="1" x="391"/>
        <item m="1" x="860"/>
        <item m="1" x="418"/>
        <item m="1" x="468"/>
        <item m="1" x="781"/>
        <item m="1" x="803"/>
        <item m="1" x="837"/>
        <item m="1" x="891"/>
        <item m="1" x="34"/>
        <item m="1" x="55"/>
        <item m="1" x="482"/>
        <item m="1" x="61"/>
        <item m="1" x="72"/>
        <item m="1" x="42"/>
        <item m="1" x="463"/>
        <item m="1" x="476"/>
        <item m="1" x="68"/>
        <item m="1" x="107"/>
        <item m="1" x="558"/>
        <item m="1" x="167"/>
        <item m="1" x="630"/>
        <item m="1" x="489"/>
        <item m="1" x="78"/>
        <item m="1" x="119"/>
        <item m="1" x="560"/>
        <item m="1" x="153"/>
        <item m="1" x="188"/>
        <item m="1" x="497"/>
        <item m="1" x="537"/>
        <item m="1" x="190"/>
        <item m="1" x="649"/>
        <item m="1" x="691"/>
        <item m="1" x="115"/>
        <item m="1" x="598"/>
        <item m="1" x="176"/>
        <item m="1" x="650"/>
        <item m="1" x="672"/>
        <item m="1" x="712"/>
        <item m="1" x="122"/>
        <item m="1" x="158"/>
        <item m="1" x="179"/>
        <item m="1" x="695"/>
        <item m="1" x="256"/>
        <item m="1" x="714"/>
        <item m="1" x="753"/>
        <item m="1" x="309"/>
        <item m="1" x="553"/>
        <item m="1" x="134"/>
        <item m="1" x="572"/>
        <item m="1" x="182"/>
        <item m="1" x="658"/>
        <item m="1" x="222"/>
        <item m="1" x="258"/>
        <item m="1" x="755"/>
        <item m="1" x="310"/>
        <item m="1" x="325"/>
        <item m="1" x="586"/>
        <item m="1" x="225"/>
        <item m="1" x="698"/>
        <item m="1" x="365"/>
        <item m="1" x="842"/>
        <item m="1" x="385"/>
        <item m="1" x="625"/>
        <item m="1" x="640"/>
        <item m="1" x="662"/>
        <item m="1" x="683"/>
        <item m="1" x="726"/>
        <item m="1" x="330"/>
        <item m="1" x="816"/>
        <item m="1" x="368"/>
        <item m="1" x="831"/>
        <item m="1" x="844"/>
        <item m="1" x="387"/>
        <item m="1" x="854"/>
        <item m="1" x="664"/>
        <item m="1" x="685"/>
        <item m="1" x="263"/>
        <item m="1" x="728"/>
        <item m="1" x="748"/>
        <item m="1" x="764"/>
        <item m="1" x="846"/>
        <item m="1" x="417"/>
        <item m="1" x="11"/>
        <item m="1" x="704"/>
        <item m="1" x="749"/>
        <item m="1" x="303"/>
        <item m="1" x="382"/>
        <item m="1" x="406"/>
        <item m="1" x="875"/>
        <item m="1" x="888"/>
        <item m="1" x="13"/>
        <item m="1" x="436"/>
        <item m="1" x="25"/>
        <item m="1" x="318"/>
        <item m="1" x="337"/>
        <item m="1" x="393"/>
        <item m="1" x="43"/>
        <item m="1" x="850"/>
        <item m="1" x="17"/>
        <item m="1" x="28"/>
        <item m="1" x="35"/>
        <item m="1" x="73"/>
        <item m="1" x="464"/>
        <item m="1" x="477"/>
        <item m="1" x="506"/>
        <item m="1" x="85"/>
        <item m="1" x="510"/>
        <item m="1" x="127"/>
        <item m="1" x="168"/>
        <item m="1" x="478"/>
        <item m="1" x="70"/>
        <item m="1" x="513"/>
        <item m="1" x="110"/>
        <item m="1" x="536"/>
        <item m="1" x="546"/>
        <item m="1" x="129"/>
        <item m="1" x="562"/>
        <item m="1" x="101"/>
        <item m="1" x="525"/>
        <item m="1" x="568"/>
        <item m="1" x="614"/>
        <item m="1" x="202"/>
        <item m="1" x="693"/>
        <item m="1" x="710"/>
        <item m="1" x="89"/>
        <item m="1" x="149"/>
        <item m="1" x="617"/>
        <item m="1" x="194"/>
        <item m="1" x="676"/>
        <item m="1" x="272"/>
        <item m="1" x="527"/>
        <item m="1" x="123"/>
        <item m="1" x="133"/>
        <item m="1" x="602"/>
        <item m="1" x="206"/>
        <item m="1" x="737"/>
        <item m="1" x="573"/>
        <item m="1" x="151"/>
        <item m="1" x="638"/>
        <item m="1" x="277"/>
        <item m="1" x="299"/>
        <item m="1" x="792"/>
        <item m="1" x="363"/>
        <item m="1" x="229"/>
        <item m="1" x="723"/>
        <item m="1" x="346"/>
        <item m="1" x="377"/>
        <item m="1" x="642"/>
        <item m="1" x="208"/>
        <item m="1" x="230"/>
        <item m="1" x="286"/>
        <item m="1" x="746"/>
        <item m="1" x="763"/>
        <item m="1" x="315"/>
        <item m="1" x="797"/>
        <item m="1" x="350"/>
        <item m="1" x="415"/>
        <item m="1" x="666"/>
        <item m="1" x="703"/>
        <item m="1" x="288"/>
        <item m="1" x="872"/>
        <item m="1" x="435"/>
        <item m="1" x="265"/>
        <item m="1" x="801"/>
        <item m="1" x="392"/>
        <item m="1" x="876"/>
        <item m="1" x="419"/>
        <item m="1" x="32"/>
        <item m="1" x="750"/>
        <item m="1" x="355"/>
        <item m="1" x="395"/>
        <item m="1" x="862"/>
        <item m="1" x="877"/>
        <item m="1" x="44"/>
        <item m="1" x="469"/>
        <item m="1" x="783"/>
        <item m="1" x="339"/>
        <item m="1" x="804"/>
        <item m="1" x="36"/>
        <item m="1" x="483"/>
        <item m="1" x="493"/>
        <item m="1" x="50"/>
        <item m="1" x="496"/>
        <item m="1" x="79"/>
        <item m="1" x="507"/>
        <item m="1" x="511"/>
        <item m="1" x="97"/>
        <item m="1" x="535"/>
        <item m="1" x="144"/>
        <item m="1" x="594"/>
        <item m="1" x="170"/>
        <item m="1" x="633"/>
        <item m="1" x="51"/>
        <item m="1" x="58"/>
        <item m="1" x="498"/>
        <item m="1" x="514"/>
        <item m="1" x="100"/>
        <item m="1" x="596"/>
        <item m="1" x="173"/>
        <item m="1" x="499"/>
        <item m="1" x="508"/>
        <item m="1" x="550"/>
        <item m="1" x="130"/>
        <item m="1" x="569"/>
        <item m="1" x="217"/>
        <item m="1" x="673"/>
        <item m="1" x="713"/>
        <item m="1" x="91"/>
        <item m="1" x="516"/>
        <item m="1" x="132"/>
        <item m="1" x="600"/>
        <item m="1" x="715"/>
        <item m="1" x="135"/>
        <item m="1" x="620"/>
        <item m="1" x="636"/>
        <item m="1" x="223"/>
        <item m="1" x="244"/>
        <item m="1" x="739"/>
        <item m="1" x="756"/>
        <item m="1" x="311"/>
        <item m="1" x="773"/>
        <item m="1" x="226"/>
        <item m="1" x="247"/>
        <item m="1" x="281"/>
        <item m="1" x="759"/>
        <item m="1" x="327"/>
        <item m="1" x="345"/>
        <item m="1" x="604"/>
        <item m="1" x="198"/>
        <item m="1" x="641"/>
        <item m="1" x="701"/>
        <item m="1" x="727"/>
        <item m="1" x="285"/>
        <item m="1" x="744"/>
        <item m="1" x="845"/>
        <item m="1" x="855"/>
        <item m="1" x="209"/>
        <item m="1" x="665"/>
        <item m="1" x="264"/>
        <item m="1" x="798"/>
        <item m="1" x="818"/>
        <item m="1" x="834"/>
        <item m="1" x="380"/>
        <item m="1" x="388"/>
        <item m="1" x="405"/>
        <item m="1" x="667"/>
        <item m="1" x="766"/>
        <item m="1" x="778"/>
        <item m="1" x="820"/>
        <item m="1" x="390"/>
        <item m="1" x="889"/>
        <item m="1" x="14"/>
        <item m="1" x="266"/>
        <item m="1" x="290"/>
        <item m="1" x="319"/>
        <item m="1" x="338"/>
        <item m="1" x="824"/>
        <item m="1" x="371"/>
        <item m="1" x="394"/>
        <item m="1" x="16"/>
        <item m="1" x="26"/>
        <item m="1" x="33"/>
        <item m="1" x="768"/>
        <item m="1" x="357"/>
        <item m="1" x="372"/>
        <item m="1" x="396"/>
        <item m="1" x="864"/>
        <item m="1" x="422"/>
        <item m="1" x="18"/>
        <item m="1" x="451"/>
        <item m="1" x="459"/>
        <item m="1" x="784"/>
        <item m="1" x="806"/>
        <item m="1" x="358"/>
        <item m="1" x="866"/>
        <item m="1" x="423"/>
        <item m="1" x="429"/>
        <item m="1" x="441"/>
        <item m="1" x="37"/>
        <item m="1" x="45"/>
        <item m="1" x="484"/>
        <item m="1" x="62"/>
        <item m="1" x="443"/>
        <item m="1" x="31"/>
        <item m="1" x="479"/>
        <item m="1" x="491"/>
        <item m="1" x="87"/>
        <item m="1" x="98"/>
        <item m="1" x="111"/>
        <item m="1" x="547"/>
        <item m="1" x="563"/>
        <item m="1" x="155"/>
        <item m="1" x="171"/>
        <item m="1" x="465"/>
        <item m="1" x="175"/>
        <item m="1" x="71"/>
        <item m="1" x="500"/>
        <item m="1" x="90"/>
        <item m="1" x="102"/>
        <item m="1" x="121"/>
        <item m="1" x="157"/>
        <item m="1" x="599"/>
        <item m="1" x="178"/>
        <item m="1" x="241"/>
        <item m="1" x="517"/>
        <item m="1" x="540"/>
        <item m="1" x="124"/>
        <item m="1" x="552"/>
        <item m="1" x="150"/>
        <item m="1" x="584"/>
        <item m="1" x="603"/>
        <item m="1" x="655"/>
        <item m="1" x="242"/>
        <item m="1" x="257"/>
        <item m="1" x="297"/>
        <item m="1" x="528"/>
        <item m="1" x="116"/>
        <item m="1" x="574"/>
        <item m="1" x="623"/>
        <item m="1" x="639"/>
        <item m="1" x="245"/>
        <item m="1" x="718"/>
        <item m="1" x="278"/>
        <item m="1" x="313"/>
        <item m="1" x="774"/>
        <item m="1" x="136"/>
        <item m="1" x="575"/>
        <item m="1" x="197"/>
        <item m="1" x="699"/>
        <item m="1" x="262"/>
        <item m="1" x="284"/>
        <item m="1" x="761"/>
        <item m="1" x="795"/>
        <item m="1" x="162"/>
        <item m="1" x="605"/>
        <item m="1" x="331"/>
        <item m="1" x="351"/>
        <item m="1" x="817"/>
        <item m="1" x="289"/>
        <item m="1" x="873"/>
        <item m="1" x="686"/>
        <item m="1" x="802"/>
        <item m="1" x="822"/>
        <item m="1" x="890"/>
        <item m="1" x="15"/>
        <item m="1" x="705"/>
        <item m="1" x="729"/>
        <item m="1" x="291"/>
        <item m="1" x="320"/>
        <item m="1" x="782"/>
        <item m="1" x="356"/>
        <item m="1" x="825"/>
        <item m="1" x="863"/>
        <item m="1" x="408"/>
        <item m="1" x="878"/>
        <item m="1" x="421"/>
        <item m="1" x="27"/>
        <item m="1" x="304"/>
        <item m="1" x="805"/>
        <item m="1" x="826"/>
        <item m="1" x="373"/>
        <item m="1" x="851"/>
        <item m="1" x="397"/>
        <item m="1" x="865"/>
        <item m="1" x="879"/>
        <item m="1" x="19"/>
        <item m="1" x="437"/>
        <item m="1" x="452"/>
        <item m="1" x="470"/>
        <item m="1" x="340"/>
        <item m="1" x="807"/>
        <item m="1" x="359"/>
        <item m="1" x="398"/>
        <item m="1" x="424"/>
        <item m="1" x="892"/>
        <item m="1" x="20"/>
        <item m="1" x="453"/>
        <item m="1" x="38"/>
        <item m="1" x="46"/>
        <item m="1" x="485"/>
        <item m="1" x="63"/>
        <item x="7"/>
      </items>
    </pivotField>
    <pivotField showAll="0"/>
    <pivotField axis="axisCol" dataField="1" showAll="0">
      <items count="14">
        <item x="1"/>
        <item x="8"/>
        <item x="11"/>
        <item x="6"/>
        <item x="3"/>
        <item x="4"/>
        <item x="9"/>
        <item x="5"/>
        <item x="0"/>
        <item x="2"/>
        <item x="10"/>
        <item x="7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showAll="0" defaultSubtota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892"/>
    </i>
    <i t="grand">
      <x/>
    </i>
  </rowItems>
  <colFields count="1">
    <field x="6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uenta de Tipo de delito" fld="6" subtotal="count" baseField="0" baseItem="0"/>
  </dataFields>
  <formats count="1">
    <format dxfId="0">
      <pivotArea dataOnly="0" fieldPosition="0">
        <references count="1">
          <reference field="4" count="0"/>
        </references>
      </pivotArea>
    </format>
  </formats>
  <chartFormats count="26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17772D-ADA3-4810-A349-C4E9989F2313}" name="TablaDinámica2" cacheId="0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 colHeaderCaption="">
  <location ref="A3:N29" firstHeaderRow="1" firstDataRow="2" firstDataCol="1"/>
  <pivotFields count="34"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894">
        <item x="0"/>
        <item x="3"/>
        <item x="4"/>
        <item x="1"/>
        <item x="5"/>
        <item x="6"/>
        <item x="2"/>
        <item m="1" x="29"/>
        <item m="1" x="454"/>
        <item m="1" x="39"/>
        <item m="1" x="74"/>
        <item m="1" x="501"/>
        <item m="1" x="518"/>
        <item m="1" x="103"/>
        <item m="1" x="471"/>
        <item m="1" x="486"/>
        <item m="1" x="519"/>
        <item m="1" x="541"/>
        <item m="1" x="125"/>
        <item m="1" x="587"/>
        <item m="1" x="183"/>
        <item m="1" x="64"/>
        <item m="1" x="644"/>
        <item m="1" x="210"/>
        <item m="1" x="249"/>
        <item m="1" x="93"/>
        <item m="1" x="532"/>
        <item m="1" x="166"/>
        <item m="1" x="607"/>
        <item m="1" x="668"/>
        <item m="1" x="231"/>
        <item m="1" x="250"/>
        <item m="1" x="534"/>
        <item m="1" x="128"/>
        <item m="1" x="169"/>
        <item m="1" x="186"/>
        <item m="1" x="646"/>
        <item m="1" x="669"/>
        <item m="1" x="267"/>
        <item m="1" x="321"/>
        <item m="1" x="785"/>
        <item m="1" x="564"/>
        <item m="1" x="145"/>
        <item m="1" x="583"/>
        <item m="1" x="189"/>
        <item m="1" x="269"/>
        <item m="1" x="292"/>
        <item m="1" x="787"/>
        <item m="1" x="615"/>
        <item m="1" x="216"/>
        <item m="1" x="238"/>
        <item m="1" x="252"/>
        <item m="1" x="270"/>
        <item m="1" x="360"/>
        <item m="1" x="838"/>
        <item m="1" x="254"/>
        <item m="1" x="734"/>
        <item m="1" x="828"/>
        <item m="1" x="399"/>
        <item m="1" x="409"/>
        <item m="1" x="880"/>
        <item m="1" x="656"/>
        <item m="1" x="220"/>
        <item m="1" x="680"/>
        <item m="1" x="243"/>
        <item m="1" x="716"/>
        <item m="1" x="738"/>
        <item m="1" x="754"/>
        <item m="1" x="790"/>
        <item m="1" x="383"/>
        <item m="1" x="867"/>
        <item m="1" x="410"/>
        <item m="1" x="8"/>
        <item m="1" x="719"/>
        <item m="1" x="740"/>
        <item m="1" x="401"/>
        <item m="1" x="883"/>
        <item m="1" x="402"/>
        <item m="1" x="414"/>
        <item m="1" x="352"/>
        <item m="1" x="425"/>
        <item m="1" x="433"/>
        <item m="1" x="466"/>
        <item m="1" x="52"/>
        <item m="1" x="480"/>
        <item m="1" x="460"/>
        <item m="1" x="494"/>
        <item m="1" x="152"/>
        <item m="1" x="462"/>
        <item m="1" x="47"/>
        <item m="1" x="473"/>
        <item m="1" x="75"/>
        <item m="1" x="520"/>
        <item m="1" x="126"/>
        <item m="1" x="163"/>
        <item m="1" x="643"/>
        <item m="1" x="487"/>
        <item m="1" x="65"/>
        <item m="1" x="105"/>
        <item m="1" x="138"/>
        <item m="1" x="578"/>
        <item m="1" x="211"/>
        <item m="1" x="706"/>
        <item m="1" x="83"/>
        <item m="1" x="523"/>
        <item m="1" x="533"/>
        <item m="1" x="140"/>
        <item m="1" x="580"/>
        <item m="1" x="199"/>
        <item m="1" x="645"/>
        <item m="1" x="687"/>
        <item m="1" x="109"/>
        <item m="1" x="544"/>
        <item m="1" x="561"/>
        <item m="1" x="595"/>
        <item m="1" x="610"/>
        <item m="1" x="648"/>
        <item m="1" x="671"/>
        <item m="1" x="751"/>
        <item m="1" x="305"/>
        <item m="1" x="786"/>
        <item m="1" x="548"/>
        <item m="1" x="567"/>
        <item m="1" x="146"/>
        <item m="1" x="597"/>
        <item m="1" x="174"/>
        <item m="1" x="612"/>
        <item m="1" x="191"/>
        <item m="1" x="236"/>
        <item m="1" x="692"/>
        <item m="1" x="808"/>
        <item m="1" x="177"/>
        <item m="1" x="218"/>
        <item m="1" x="674"/>
        <item m="1" x="239"/>
        <item m="1" x="810"/>
        <item m="1" x="361"/>
        <item m="1" x="827"/>
        <item m="1" x="205"/>
        <item m="1" x="788"/>
        <item m="1" x="852"/>
        <item m="1" x="400"/>
        <item m="1" x="681"/>
        <item m="1" x="259"/>
        <item m="1" x="275"/>
        <item m="1" x="757"/>
        <item m="1" x="343"/>
        <item m="1" x="829"/>
        <item m="1" x="411"/>
        <item m="1" x="881"/>
        <item m="1" x="720"/>
        <item m="1" x="282"/>
        <item m="1" x="760"/>
        <item m="1" x="775"/>
        <item m="1" x="366"/>
        <item m="1" x="413"/>
        <item m="1" x="430"/>
        <item m="1" x="445"/>
        <item m="1" x="333"/>
        <item m="1" x="819"/>
        <item m="1" x="835"/>
        <item m="1" x="887"/>
        <item m="1" x="427"/>
        <item m="1" x="440"/>
        <item m="1" x="467"/>
        <item m="1" x="53"/>
        <item m="1" x="481"/>
        <item m="1" x="442"/>
        <item m="1" x="30"/>
        <item m="1" x="40"/>
        <item m="1" x="461"/>
        <item m="1" x="472"/>
        <item m="1" x="56"/>
        <item m="1" x="576"/>
        <item m="1" x="588"/>
        <item m="1" x="502"/>
        <item m="1" x="104"/>
        <item m="1" x="117"/>
        <item m="1" x="543"/>
        <item m="1" x="606"/>
        <item m="1" x="67"/>
        <item m="1" x="77"/>
        <item m="1" x="509"/>
        <item m="1" x="557"/>
        <item m="1" x="592"/>
        <item m="1" x="628"/>
        <item m="1" x="108"/>
        <item m="1" x="118"/>
        <item m="1" x="559"/>
        <item m="1" x="142"/>
        <item m="1" x="582"/>
        <item m="1" x="609"/>
        <item m="1" x="632"/>
        <item m="1" x="670"/>
        <item m="1" x="688"/>
        <item m="1" x="268"/>
        <item m="1" x="112"/>
        <item m="1" x="565"/>
        <item m="1" x="172"/>
        <item m="1" x="200"/>
        <item m="1" x="214"/>
        <item m="1" x="235"/>
        <item m="1" x="731"/>
        <item m="1" x="752"/>
        <item m="1" x="147"/>
        <item m="1" x="193"/>
        <item m="1" x="733"/>
        <item m="1" x="770"/>
        <item m="1" x="341"/>
        <item m="1" x="809"/>
        <item m="1" x="618"/>
        <item m="1" x="308"/>
        <item m="1" x="811"/>
        <item m="1" x="657"/>
        <item m="1" x="772"/>
        <item m="1" x="323"/>
        <item m="1" x="813"/>
        <item m="1" x="840"/>
        <item m="1" x="659"/>
        <item m="1" x="261"/>
        <item m="1" x="279"/>
        <item m="1" x="300"/>
        <item m="1" x="326"/>
        <item m="1" x="364"/>
        <item m="1" x="830"/>
        <item m="1" x="375"/>
        <item m="1" x="412"/>
        <item m="1" x="724"/>
        <item m="1" x="302"/>
        <item m="1" x="328"/>
        <item m="1" x="347"/>
        <item m="1" x="386"/>
        <item m="1" x="403"/>
        <item m="1" x="869"/>
        <item m="1" x="438"/>
        <item m="1" x="444"/>
        <item m="1" x="747"/>
        <item m="1" x="316"/>
        <item m="1" x="369"/>
        <item m="1" x="832"/>
        <item m="1" x="416"/>
        <item m="1" x="886"/>
        <item m="1" x="21"/>
        <item m="1" x="446"/>
        <item m="1" x="370"/>
        <item m="1" x="456"/>
        <item m="1" x="54"/>
        <item m="1" x="59"/>
        <item m="1" x="492"/>
        <item m="1" x="41"/>
        <item m="1" x="57"/>
        <item m="1" x="92"/>
        <item m="1" x="521"/>
        <item m="1" x="542"/>
        <item m="1" x="554"/>
        <item m="1" x="577"/>
        <item m="1" x="589"/>
        <item m="1" x="164"/>
        <item m="1" x="66"/>
        <item m="1" x="495"/>
        <item m="1" x="76"/>
        <item m="1" x="503"/>
        <item m="1" x="530"/>
        <item m="1" x="579"/>
        <item m="1" x="626"/>
        <item m="1" x="505"/>
        <item m="1" x="94"/>
        <item m="1" x="141"/>
        <item m="1" x="608"/>
        <item m="1" x="232"/>
        <item m="1" x="545"/>
        <item m="1" x="212"/>
        <item m="1" x="730"/>
        <item m="1" x="549"/>
        <item m="1" x="613"/>
        <item m="1" x="192"/>
        <item m="1" x="634"/>
        <item m="1" x="237"/>
        <item m="1" x="708"/>
        <item m="1" x="294"/>
        <item m="1" x="769"/>
        <item m="1" x="635"/>
        <item m="1" x="203"/>
        <item m="1" x="651"/>
        <item m="1" x="675"/>
        <item m="1" x="253"/>
        <item m="1" x="159"/>
        <item m="1" x="653"/>
        <item m="1" x="678"/>
        <item m="1" x="735"/>
        <item m="1" x="789"/>
        <item m="1" x="342"/>
        <item m="1" x="839"/>
        <item m="1" x="621"/>
        <item m="1" x="637"/>
        <item m="1" x="224"/>
        <item m="1" x="260"/>
        <item m="1" x="276"/>
        <item m="1" x="384"/>
        <item m="1" x="868"/>
        <item m="1" x="882"/>
        <item m="1" x="227"/>
        <item m="1" x="721"/>
        <item m="1" x="793"/>
        <item m="1" x="367"/>
        <item m="1" x="843"/>
        <item m="1" x="9"/>
        <item m="1" x="745"/>
        <item m="1" x="776"/>
        <item m="1" x="349"/>
        <item m="1" x="870"/>
        <item m="1" x="432"/>
        <item m="1" x="439"/>
        <item m="1" x="24"/>
        <item m="1" x="353"/>
        <item m="1" x="836"/>
        <item m="1" x="857"/>
        <item m="1" x="428"/>
        <item m="1" x="23"/>
        <item m="1" x="455"/>
        <item m="1" x="779"/>
        <item m="1" x="335"/>
        <item m="1" x="848"/>
        <item m="1" x="407"/>
        <item m="1" x="449"/>
        <item m="1" x="458"/>
        <item m="1" x="60"/>
        <item m="1" x="474"/>
        <item m="1" x="80"/>
        <item m="1" x="529"/>
        <item m="1" x="555"/>
        <item m="1" x="137"/>
        <item m="1" x="590"/>
        <item m="1" x="165"/>
        <item m="1" x="475"/>
        <item m="1" x="504"/>
        <item m="1" x="82"/>
        <item m="1" x="106"/>
        <item m="1" x="184"/>
        <item m="1" x="629"/>
        <item m="1" x="86"/>
        <item m="1" x="96"/>
        <item m="1" x="143"/>
        <item m="1" x="593"/>
        <item m="1" x="187"/>
        <item m="1" x="647"/>
        <item m="1" x="233"/>
        <item m="1" x="689"/>
        <item m="1" x="88"/>
        <item m="1" x="99"/>
        <item m="1" x="524"/>
        <item m="1" x="113"/>
        <item m="1" x="566"/>
        <item m="1" x="201"/>
        <item m="1" x="690"/>
        <item m="1" x="251"/>
        <item m="1" x="707"/>
        <item m="1" x="732"/>
        <item m="1" x="293"/>
        <item m="1" x="526"/>
        <item m="1" x="114"/>
        <item m="1" x="538"/>
        <item m="1" x="120"/>
        <item m="1" x="148"/>
        <item m="1" x="156"/>
        <item m="1" x="711"/>
        <item m="1" x="271"/>
        <item m="1" x="295"/>
        <item m="1" x="306"/>
        <item m="1" x="771"/>
        <item m="1" x="131"/>
        <item m="1" x="619"/>
        <item m="1" x="677"/>
        <item m="1" x="694"/>
        <item m="1" x="255"/>
        <item m="1" x="273"/>
        <item m="1" x="812"/>
        <item m="1" x="362"/>
        <item m="1" x="161"/>
        <item m="1" x="181"/>
        <item m="1" x="195"/>
        <item m="1" x="207"/>
        <item m="1" x="221"/>
        <item m="1" x="696"/>
        <item m="1" x="324"/>
        <item m="1" x="791"/>
        <item m="1" x="841"/>
        <item m="1" x="624"/>
        <item m="1" x="660"/>
        <item m="1" x="682"/>
        <item m="1" x="246"/>
        <item m="1" x="697"/>
        <item m="1" x="280"/>
        <item m="1" x="741"/>
        <item m="1" x="758"/>
        <item m="1" x="344"/>
        <item m="1" x="814"/>
        <item m="1" x="376"/>
        <item m="1" x="853"/>
        <item m="1" x="884"/>
        <item m="1" x="661"/>
        <item m="1" x="700"/>
        <item m="1" x="725"/>
        <item m="1" x="743"/>
        <item m="1" x="762"/>
        <item m="1" x="329"/>
        <item m="1" x="348"/>
        <item m="1" x="815"/>
        <item m="1" x="378"/>
        <item m="1" x="885"/>
        <item m="1" x="10"/>
        <item m="1" x="431"/>
        <item m="1" x="702"/>
        <item m="1" x="287"/>
        <item m="1" x="777"/>
        <item m="1" x="332"/>
        <item m="1" x="833"/>
        <item m="1" x="379"/>
        <item m="1" x="856"/>
        <item m="1" x="404"/>
        <item m="1" x="426"/>
        <item m="1" x="22"/>
        <item m="1" x="765"/>
        <item m="1" x="799"/>
        <item m="1" x="847"/>
        <item m="1" x="859"/>
        <item m="1" x="874"/>
        <item m="1" x="12"/>
        <item m="1" x="448"/>
        <item m="1" x="457"/>
        <item m="1" x="780"/>
        <item m="1" x="336"/>
        <item m="1" x="823"/>
        <item m="1" x="861"/>
        <item m="1" x="420"/>
        <item m="1" x="450"/>
        <item m="1" x="48"/>
        <item m="1" x="488"/>
        <item m="1" x="81"/>
        <item m="1" x="522"/>
        <item m="1" x="531"/>
        <item m="1" x="556"/>
        <item m="1" x="139"/>
        <item m="1" x="591"/>
        <item m="1" x="627"/>
        <item m="1" x="49"/>
        <item m="1" x="69"/>
        <item m="1" x="84"/>
        <item m="1" x="95"/>
        <item m="1" x="581"/>
        <item m="1" x="185"/>
        <item m="1" x="631"/>
        <item m="1" x="490"/>
        <item m="1" x="512"/>
        <item m="1" x="154"/>
        <item m="1" x="611"/>
        <item m="1" x="213"/>
        <item m="1" x="234"/>
        <item m="1" x="515"/>
        <item m="1" x="215"/>
        <item m="1" x="709"/>
        <item m="1" x="539"/>
        <item m="1" x="551"/>
        <item m="1" x="570"/>
        <item m="1" x="616"/>
        <item m="1" x="204"/>
        <item m="1" x="652"/>
        <item m="1" x="219"/>
        <item m="1" x="240"/>
        <item m="1" x="296"/>
        <item m="1" x="307"/>
        <item m="1" x="322"/>
        <item m="1" x="571"/>
        <item m="1" x="160"/>
        <item m="1" x="601"/>
        <item m="1" x="180"/>
        <item m="1" x="654"/>
        <item m="1" x="679"/>
        <item m="1" x="274"/>
        <item m="1" x="736"/>
        <item m="1" x="585"/>
        <item m="1" x="622"/>
        <item m="1" x="196"/>
        <item m="1" x="717"/>
        <item m="1" x="298"/>
        <item m="1" x="312"/>
        <item m="1" x="374"/>
        <item m="1" x="228"/>
        <item m="1" x="248"/>
        <item m="1" x="722"/>
        <item m="1" x="283"/>
        <item m="1" x="742"/>
        <item m="1" x="301"/>
        <item m="1" x="794"/>
        <item m="1" x="663"/>
        <item m="1" x="684"/>
        <item m="1" x="314"/>
        <item m="1" x="796"/>
        <item m="1" x="334"/>
        <item m="1" x="354"/>
        <item m="1" x="381"/>
        <item m="1" x="389"/>
        <item m="1" x="858"/>
        <item m="1" x="871"/>
        <item m="1" x="434"/>
        <item m="1" x="447"/>
        <item m="1" x="767"/>
        <item m="1" x="317"/>
        <item m="1" x="800"/>
        <item m="1" x="821"/>
        <item m="1" x="849"/>
        <item m="1" x="391"/>
        <item m="1" x="860"/>
        <item m="1" x="418"/>
        <item m="1" x="468"/>
        <item m="1" x="781"/>
        <item m="1" x="803"/>
        <item m="1" x="837"/>
        <item m="1" x="891"/>
        <item m="1" x="34"/>
        <item m="1" x="55"/>
        <item m="1" x="482"/>
        <item m="1" x="61"/>
        <item m="1" x="72"/>
        <item m="1" x="42"/>
        <item m="1" x="463"/>
        <item m="1" x="476"/>
        <item m="1" x="68"/>
        <item m="1" x="107"/>
        <item m="1" x="558"/>
        <item m="1" x="167"/>
        <item m="1" x="630"/>
        <item m="1" x="489"/>
        <item m="1" x="78"/>
        <item m="1" x="119"/>
        <item m="1" x="560"/>
        <item m="1" x="153"/>
        <item m="1" x="188"/>
        <item m="1" x="497"/>
        <item m="1" x="537"/>
        <item m="1" x="190"/>
        <item m="1" x="649"/>
        <item m="1" x="691"/>
        <item m="1" x="115"/>
        <item m="1" x="598"/>
        <item m="1" x="176"/>
        <item m="1" x="650"/>
        <item m="1" x="672"/>
        <item m="1" x="712"/>
        <item m="1" x="122"/>
        <item m="1" x="158"/>
        <item m="1" x="179"/>
        <item m="1" x="695"/>
        <item m="1" x="256"/>
        <item m="1" x="714"/>
        <item m="1" x="753"/>
        <item m="1" x="309"/>
        <item m="1" x="553"/>
        <item m="1" x="134"/>
        <item m="1" x="572"/>
        <item m="1" x="182"/>
        <item m="1" x="658"/>
        <item m="1" x="222"/>
        <item m="1" x="258"/>
        <item m="1" x="755"/>
        <item m="1" x="310"/>
        <item m="1" x="325"/>
        <item m="1" x="586"/>
        <item m="1" x="225"/>
        <item m="1" x="698"/>
        <item m="1" x="365"/>
        <item m="1" x="842"/>
        <item m="1" x="385"/>
        <item m="1" x="625"/>
        <item m="1" x="640"/>
        <item m="1" x="662"/>
        <item m="1" x="683"/>
        <item m="1" x="726"/>
        <item m="1" x="330"/>
        <item m="1" x="816"/>
        <item m="1" x="368"/>
        <item m="1" x="831"/>
        <item m="1" x="844"/>
        <item m="1" x="387"/>
        <item m="1" x="854"/>
        <item m="1" x="664"/>
        <item m="1" x="685"/>
        <item m="1" x="263"/>
        <item m="1" x="728"/>
        <item m="1" x="748"/>
        <item m="1" x="764"/>
        <item m="1" x="846"/>
        <item m="1" x="417"/>
        <item m="1" x="11"/>
        <item m="1" x="704"/>
        <item m="1" x="749"/>
        <item m="1" x="303"/>
        <item m="1" x="382"/>
        <item m="1" x="406"/>
        <item m="1" x="875"/>
        <item m="1" x="888"/>
        <item m="1" x="13"/>
        <item m="1" x="436"/>
        <item m="1" x="25"/>
        <item m="1" x="318"/>
        <item m="1" x="337"/>
        <item m="1" x="393"/>
        <item m="1" x="43"/>
        <item m="1" x="850"/>
        <item m="1" x="17"/>
        <item m="1" x="28"/>
        <item m="1" x="35"/>
        <item m="1" x="73"/>
        <item m="1" x="464"/>
        <item m="1" x="477"/>
        <item m="1" x="506"/>
        <item m="1" x="85"/>
        <item m="1" x="510"/>
        <item m="1" x="127"/>
        <item m="1" x="168"/>
        <item m="1" x="478"/>
        <item m="1" x="70"/>
        <item m="1" x="513"/>
        <item m="1" x="110"/>
        <item m="1" x="536"/>
        <item m="1" x="546"/>
        <item m="1" x="129"/>
        <item m="1" x="562"/>
        <item m="1" x="101"/>
        <item m="1" x="525"/>
        <item m="1" x="568"/>
        <item m="1" x="614"/>
        <item m="1" x="202"/>
        <item m="1" x="693"/>
        <item m="1" x="710"/>
        <item m="1" x="89"/>
        <item m="1" x="149"/>
        <item m="1" x="617"/>
        <item m="1" x="194"/>
        <item m="1" x="676"/>
        <item m="1" x="272"/>
        <item m="1" x="527"/>
        <item m="1" x="123"/>
        <item m="1" x="133"/>
        <item m="1" x="602"/>
        <item m="1" x="206"/>
        <item m="1" x="737"/>
        <item m="1" x="573"/>
        <item m="1" x="151"/>
        <item m="1" x="638"/>
        <item m="1" x="277"/>
        <item m="1" x="299"/>
        <item m="1" x="792"/>
        <item m="1" x="363"/>
        <item m="1" x="229"/>
        <item m="1" x="723"/>
        <item m="1" x="346"/>
        <item m="1" x="377"/>
        <item m="1" x="642"/>
        <item m="1" x="208"/>
        <item m="1" x="230"/>
        <item m="1" x="286"/>
        <item m="1" x="746"/>
        <item m="1" x="763"/>
        <item m="1" x="315"/>
        <item m="1" x="797"/>
        <item m="1" x="350"/>
        <item m="1" x="415"/>
        <item m="1" x="666"/>
        <item m="1" x="703"/>
        <item m="1" x="288"/>
        <item m="1" x="872"/>
        <item m="1" x="435"/>
        <item m="1" x="265"/>
        <item m="1" x="801"/>
        <item m="1" x="392"/>
        <item m="1" x="876"/>
        <item m="1" x="419"/>
        <item m="1" x="32"/>
        <item m="1" x="750"/>
        <item m="1" x="355"/>
        <item m="1" x="395"/>
        <item m="1" x="862"/>
        <item m="1" x="877"/>
        <item m="1" x="44"/>
        <item m="1" x="469"/>
        <item m="1" x="783"/>
        <item m="1" x="339"/>
        <item m="1" x="804"/>
        <item m="1" x="36"/>
        <item m="1" x="483"/>
        <item m="1" x="493"/>
        <item m="1" x="50"/>
        <item m="1" x="496"/>
        <item m="1" x="79"/>
        <item m="1" x="507"/>
        <item m="1" x="511"/>
        <item m="1" x="97"/>
        <item m="1" x="535"/>
        <item m="1" x="144"/>
        <item m="1" x="594"/>
        <item m="1" x="170"/>
        <item m="1" x="633"/>
        <item m="1" x="51"/>
        <item m="1" x="58"/>
        <item m="1" x="498"/>
        <item m="1" x="514"/>
        <item m="1" x="100"/>
        <item m="1" x="596"/>
        <item m="1" x="173"/>
        <item m="1" x="499"/>
        <item m="1" x="508"/>
        <item m="1" x="550"/>
        <item m="1" x="130"/>
        <item m="1" x="569"/>
        <item m="1" x="217"/>
        <item m="1" x="673"/>
        <item m="1" x="713"/>
        <item m="1" x="91"/>
        <item m="1" x="516"/>
        <item m="1" x="132"/>
        <item m="1" x="600"/>
        <item m="1" x="715"/>
        <item m="1" x="135"/>
        <item m="1" x="620"/>
        <item m="1" x="636"/>
        <item m="1" x="223"/>
        <item m="1" x="244"/>
        <item m="1" x="739"/>
        <item m="1" x="756"/>
        <item m="1" x="311"/>
        <item m="1" x="773"/>
        <item m="1" x="226"/>
        <item m="1" x="247"/>
        <item m="1" x="281"/>
        <item m="1" x="759"/>
        <item m="1" x="327"/>
        <item m="1" x="345"/>
        <item m="1" x="604"/>
        <item m="1" x="198"/>
        <item m="1" x="641"/>
        <item m="1" x="701"/>
        <item m="1" x="727"/>
        <item m="1" x="285"/>
        <item m="1" x="744"/>
        <item m="1" x="845"/>
        <item m="1" x="855"/>
        <item m="1" x="209"/>
        <item m="1" x="665"/>
        <item m="1" x="264"/>
        <item m="1" x="798"/>
        <item m="1" x="818"/>
        <item m="1" x="834"/>
        <item m="1" x="380"/>
        <item m="1" x="388"/>
        <item m="1" x="405"/>
        <item m="1" x="667"/>
        <item m="1" x="766"/>
        <item m="1" x="778"/>
        <item m="1" x="820"/>
        <item m="1" x="390"/>
        <item m="1" x="889"/>
        <item m="1" x="14"/>
        <item m="1" x="266"/>
        <item m="1" x="290"/>
        <item m="1" x="319"/>
        <item m="1" x="338"/>
        <item m="1" x="824"/>
        <item m="1" x="371"/>
        <item m="1" x="394"/>
        <item m="1" x="16"/>
        <item m="1" x="26"/>
        <item m="1" x="33"/>
        <item m="1" x="768"/>
        <item m="1" x="357"/>
        <item m="1" x="372"/>
        <item m="1" x="396"/>
        <item m="1" x="864"/>
        <item m="1" x="422"/>
        <item m="1" x="18"/>
        <item m="1" x="451"/>
        <item m="1" x="459"/>
        <item m="1" x="784"/>
        <item m="1" x="806"/>
        <item m="1" x="358"/>
        <item m="1" x="866"/>
        <item m="1" x="423"/>
        <item m="1" x="429"/>
        <item m="1" x="441"/>
        <item m="1" x="37"/>
        <item m="1" x="45"/>
        <item m="1" x="484"/>
        <item m="1" x="62"/>
        <item m="1" x="443"/>
        <item m="1" x="31"/>
        <item m="1" x="479"/>
        <item m="1" x="491"/>
        <item m="1" x="87"/>
        <item m="1" x="98"/>
        <item m="1" x="111"/>
        <item m="1" x="547"/>
        <item m="1" x="563"/>
        <item m="1" x="155"/>
        <item m="1" x="171"/>
        <item m="1" x="465"/>
        <item m="1" x="175"/>
        <item m="1" x="71"/>
        <item m="1" x="500"/>
        <item m="1" x="90"/>
        <item m="1" x="102"/>
        <item m="1" x="121"/>
        <item m="1" x="157"/>
        <item m="1" x="599"/>
        <item m="1" x="178"/>
        <item m="1" x="241"/>
        <item m="1" x="517"/>
        <item m="1" x="540"/>
        <item m="1" x="124"/>
        <item m="1" x="552"/>
        <item m="1" x="150"/>
        <item m="1" x="584"/>
        <item m="1" x="603"/>
        <item m="1" x="655"/>
        <item m="1" x="242"/>
        <item m="1" x="257"/>
        <item m="1" x="297"/>
        <item m="1" x="528"/>
        <item m="1" x="116"/>
        <item m="1" x="574"/>
        <item m="1" x="623"/>
        <item m="1" x="639"/>
        <item m="1" x="245"/>
        <item m="1" x="718"/>
        <item m="1" x="278"/>
        <item m="1" x="313"/>
        <item m="1" x="774"/>
        <item m="1" x="136"/>
        <item m="1" x="575"/>
        <item m="1" x="197"/>
        <item m="1" x="699"/>
        <item m="1" x="262"/>
        <item m="1" x="284"/>
        <item m="1" x="761"/>
        <item m="1" x="795"/>
        <item m="1" x="162"/>
        <item m="1" x="605"/>
        <item m="1" x="331"/>
        <item m="1" x="351"/>
        <item m="1" x="817"/>
        <item m="1" x="289"/>
        <item m="1" x="873"/>
        <item m="1" x="686"/>
        <item m="1" x="802"/>
        <item m="1" x="822"/>
        <item m="1" x="890"/>
        <item m="1" x="15"/>
        <item m="1" x="705"/>
        <item m="1" x="729"/>
        <item m="1" x="291"/>
        <item m="1" x="320"/>
        <item m="1" x="782"/>
        <item m="1" x="356"/>
        <item m="1" x="825"/>
        <item m="1" x="863"/>
        <item m="1" x="408"/>
        <item m="1" x="878"/>
        <item m="1" x="421"/>
        <item m="1" x="27"/>
        <item m="1" x="304"/>
        <item m="1" x="805"/>
        <item m="1" x="826"/>
        <item m="1" x="373"/>
        <item m="1" x="851"/>
        <item m="1" x="397"/>
        <item m="1" x="865"/>
        <item m="1" x="879"/>
        <item m="1" x="19"/>
        <item m="1" x="437"/>
        <item m="1" x="452"/>
        <item m="1" x="470"/>
        <item m="1" x="340"/>
        <item m="1" x="807"/>
        <item m="1" x="359"/>
        <item m="1" x="398"/>
        <item m="1" x="424"/>
        <item m="1" x="892"/>
        <item m="1" x="20"/>
        <item m="1" x="453"/>
        <item m="1" x="38"/>
        <item m="1" x="46"/>
        <item m="1" x="485"/>
        <item m="1" x="63"/>
        <item x="7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showAll="0">
      <items count="14">
        <item x="1"/>
        <item x="8"/>
        <item x="11"/>
        <item x="6"/>
        <item x="3"/>
        <item x="4"/>
        <item x="9"/>
        <item x="5"/>
        <item x="0"/>
        <item x="2"/>
        <item x="10"/>
        <item x="7"/>
        <item x="12"/>
        <item t="default"/>
      </items>
    </pivotField>
    <pivotField axis="axisCol" dataField="1" showAll="0">
      <items count="14">
        <item x="9"/>
        <item x="6"/>
        <item x="5"/>
        <item x="3"/>
        <item x="4"/>
        <item x="1"/>
        <item x="2"/>
        <item x="11"/>
        <item x="10"/>
        <item x="7"/>
        <item x="8"/>
        <item x="0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 defaultSubtotal="0">
      <items count="6">
        <item x="0"/>
        <item x="1"/>
        <item x="2"/>
        <item x="3"/>
        <item x="4"/>
        <item x="5"/>
      </items>
    </pivotField>
    <pivotField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multipleItemSelectionAllowed="1" showAll="0" defaultSubtotal="0">
      <items count="6">
        <item h="1" x="0"/>
        <item h="1" x="1"/>
        <item x="2"/>
        <item h="1" x="3"/>
        <item h="1" x="4"/>
        <item h="1" x="5"/>
      </items>
    </pivotField>
    <pivotField showAll="0" defaultSubtotal="0"/>
    <pivotField axis="axisRow" showAll="0">
      <items count="27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h="1" sd="0" x="25"/>
        <item t="default"/>
      </items>
    </pivotField>
  </pivotFields>
  <rowFields count="2">
    <field x="33"/>
    <field x="6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7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Cuenta de Ubicación" fld="7" subtotal="count" baseField="0" baseItem="0"/>
  </dataFields>
  <chartFormats count="13"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3" format="15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CE408CBD-1389-4532-80F5-201073300D22}" autoFormatId="16" applyNumberFormats="0" applyBorderFormats="0" applyFontFormats="0" applyPatternFormats="0" applyAlignmentFormats="0" applyWidthHeightFormats="0">
  <queryTableRefresh nextId="32">
    <queryTableFields count="29">
      <queryTableField id="1" name="ID" tableColumnId="1"/>
      <queryTableField id="2" name="Fecha" tableColumnId="2"/>
      <queryTableField id="28" dataBound="0" tableColumnId="28"/>
      <queryTableField id="29" dataBound="0" tableColumnId="29"/>
      <queryTableField id="31" dataBound="0" tableColumnId="26"/>
      <queryTableField id="3" name="Hora" tableColumnId="3"/>
      <queryTableField id="4" name="Tipo de delito" tableColumnId="4"/>
      <queryTableField id="5" name="Ubicación" tableColumnId="5"/>
      <queryTableField id="26" dataBound="0" tableColumnId="27"/>
      <queryTableField id="6" name="Fecha Nac. Delincuente" tableColumnId="6"/>
      <queryTableField id="20" dataBound="0" tableColumnId="20"/>
      <queryTableField id="22" dataBound="0" tableColumnId="22"/>
      <queryTableField id="7" name="Género Delincuente" tableColumnId="7"/>
      <queryTableField id="24" dataBound="0" tableColumnId="24"/>
      <queryTableField id="8" name="Cantidad de Delincuentes" tableColumnId="8"/>
      <queryTableField id="9" name="Fecha Nac. Víctima" tableColumnId="9"/>
      <queryTableField id="21" dataBound="0" tableColumnId="21"/>
      <queryTableField id="23" dataBound="0" tableColumnId="23"/>
      <queryTableField id="10" name="Género Víctima" tableColumnId="10"/>
      <queryTableField id="25" dataBound="0" tableColumnId="25"/>
      <queryTableField id="11" name="Cantidad de Víctimas" tableColumnId="11"/>
      <queryTableField id="12" name="Hubo Arresto" tableColumnId="12"/>
      <queryTableField id="13" name="Tipo de arma" tableColumnId="13"/>
      <queryTableField id="14" name="Agravante" tableColumnId="14"/>
      <queryTableField id="15" name="Objeto Robado/Dañado" tableColumnId="15"/>
      <queryTableField id="16" name="Presencia de Drogas" tableColumnId="16"/>
      <queryTableField id="17" name="Presencia de Alcohol" tableColumnId="17"/>
      <queryTableField id="18" name="Estado del Caso" tableColumnId="18"/>
      <queryTableField id="19" name="Sentencia (meses)" tableColumnId="1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delito" xr10:uid="{8601DEE8-D517-4B3D-B04F-675C239ADA51}" sourceName="Tipo de delito">
  <pivotTables>
    <pivotTable tabId="13" name="TablaDinámica5"/>
    <pivotTable tabId="12" name="TablaDinámica10"/>
    <pivotTable tabId="15" name="TablaDinámica1"/>
    <pivotTable tabId="19" name="TablaDinámica11"/>
  </pivotTables>
  <data>
    <tabular pivotCacheId="385518779">
      <items count="13">
        <i x="1" s="1"/>
        <i x="8" s="1"/>
        <i x="11" s="1"/>
        <i x="6" s="1"/>
        <i x="3" s="1"/>
        <i x="4" s="1"/>
        <i x="9" s="1"/>
        <i x="5" s="1"/>
        <i x="0" s="1"/>
        <i x="2" s="1"/>
        <i x="10" s="1"/>
        <i x="7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Ubicación" xr10:uid="{4708A8DA-A235-4AD2-84C4-DF52E51DBE71}" sourceName="Ubicación">
  <pivotTables>
    <pivotTable tabId="13" name="TablaDinámica5"/>
    <pivotTable tabId="12" name="TablaDinámica10"/>
    <pivotTable tabId="15" name="TablaDinámica1"/>
    <pivotTable tabId="17" name="TablaDinámica2"/>
    <pivotTable tabId="19" name="TablaDinámica11"/>
  </pivotTables>
  <data>
    <tabular pivotCacheId="385518779">
      <items count="13">
        <i x="9" s="1"/>
        <i x="6" s="1"/>
        <i x="5" s="1"/>
        <i x="3" s="1"/>
        <i x="4" s="1"/>
        <i x="1" s="1"/>
        <i x="2" s="1"/>
        <i x="11" s="1"/>
        <i x="10" s="1"/>
        <i x="7" s="1"/>
        <i x="8" s="1"/>
        <i x="0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" xr10:uid="{C1D21C0F-FCFF-44FE-B275-8F9058F8B605}" sourceName="Años">
  <pivotTables>
    <pivotTable tabId="13" name="TablaDinámica5"/>
    <pivotTable tabId="12" name="TablaDinámica10"/>
    <pivotTable tabId="15" name="TablaDinámica1"/>
    <pivotTable tabId="17" name="TablaDinámica2"/>
    <pivotTable tabId="19" name="TablaDinámica11"/>
  </pivotTables>
  <data>
    <tabular pivotCacheId="385518779">
      <items count="12">
        <i x="1" s="1"/>
        <i x="2" s="1"/>
        <i x="3" s="1"/>
        <i x="4" s="1"/>
        <i x="5" s="1"/>
        <i x="6" s="1"/>
        <i x="7" s="1"/>
        <i x="8" s="1"/>
        <i x="9" s="1"/>
        <i x="10" s="1"/>
        <i x="0" s="1" nd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ÍA" xr10:uid="{87E1832F-9D56-4443-8CB8-6CF8046B7C7E}" sourceName="DÍA">
  <pivotTables>
    <pivotTable tabId="13" name="TablaDinámica5"/>
    <pivotTable tabId="20" name="TablaDinámica17"/>
    <pivotTable tabId="20" name="TablaDinámica18"/>
    <pivotTable tabId="19" name="TablaDinámica11"/>
    <pivotTable tabId="12" name="TablaDinámica10"/>
    <pivotTable tabId="15" name="TablaDinámica1"/>
    <pivotTable tabId="21" name="TablaDinámica1"/>
    <pivotTable tabId="17" name="TablaDinámica2"/>
  </pivotTables>
  <data>
    <tabular pivotCacheId="385518779">
      <items count="893">
        <i x="0" s="1"/>
        <i x="3" s="1"/>
        <i x="4" s="1"/>
        <i x="1" s="1"/>
        <i x="5" s="1"/>
        <i x="6" s="1"/>
        <i x="2" s="1"/>
        <i x="29" s="1" nd="1"/>
        <i x="454" s="1" nd="1"/>
        <i x="39" s="1" nd="1"/>
        <i x="74" s="1" nd="1"/>
        <i x="501" s="1" nd="1"/>
        <i x="518" s="1" nd="1"/>
        <i x="103" s="1" nd="1"/>
        <i x="471" s="1" nd="1"/>
        <i x="486" s="1" nd="1"/>
        <i x="519" s="1" nd="1"/>
        <i x="541" s="1" nd="1"/>
        <i x="125" s="1" nd="1"/>
        <i x="587" s="1" nd="1"/>
        <i x="183" s="1" nd="1"/>
        <i x="64" s="1" nd="1"/>
        <i x="644" s="1" nd="1"/>
        <i x="210" s="1" nd="1"/>
        <i x="249" s="1" nd="1"/>
        <i x="93" s="1" nd="1"/>
        <i x="532" s="1" nd="1"/>
        <i x="166" s="1" nd="1"/>
        <i x="607" s="1" nd="1"/>
        <i x="668" s="1" nd="1"/>
        <i x="231" s="1" nd="1"/>
        <i x="250" s="1" nd="1"/>
        <i x="534" s="1" nd="1"/>
        <i x="128" s="1" nd="1"/>
        <i x="169" s="1" nd="1"/>
        <i x="186" s="1" nd="1"/>
        <i x="646" s="1" nd="1"/>
        <i x="669" s="1" nd="1"/>
        <i x="267" s="1" nd="1"/>
        <i x="321" s="1" nd="1"/>
        <i x="785" s="1" nd="1"/>
        <i x="564" s="1" nd="1"/>
        <i x="145" s="1" nd="1"/>
        <i x="583" s="1" nd="1"/>
        <i x="189" s="1" nd="1"/>
        <i x="269" s="1" nd="1"/>
        <i x="292" s="1" nd="1"/>
        <i x="787" s="1" nd="1"/>
        <i x="615" s="1" nd="1"/>
        <i x="216" s="1" nd="1"/>
        <i x="238" s="1" nd="1"/>
        <i x="252" s="1" nd="1"/>
        <i x="270" s="1" nd="1"/>
        <i x="360" s="1" nd="1"/>
        <i x="838" s="1" nd="1"/>
        <i x="254" s="1" nd="1"/>
        <i x="734" s="1" nd="1"/>
        <i x="828" s="1" nd="1"/>
        <i x="399" s="1" nd="1"/>
        <i x="409" s="1" nd="1"/>
        <i x="880" s="1" nd="1"/>
        <i x="656" s="1" nd="1"/>
        <i x="220" s="1" nd="1"/>
        <i x="680" s="1" nd="1"/>
        <i x="243" s="1" nd="1"/>
        <i x="716" s="1" nd="1"/>
        <i x="738" s="1" nd="1"/>
        <i x="754" s="1" nd="1"/>
        <i x="790" s="1" nd="1"/>
        <i x="383" s="1" nd="1"/>
        <i x="867" s="1" nd="1"/>
        <i x="410" s="1" nd="1"/>
        <i x="8" s="1" nd="1"/>
        <i x="719" s="1" nd="1"/>
        <i x="740" s="1" nd="1"/>
        <i x="401" s="1" nd="1"/>
        <i x="883" s="1" nd="1"/>
        <i x="402" s="1" nd="1"/>
        <i x="414" s="1" nd="1"/>
        <i x="352" s="1" nd="1"/>
        <i x="425" s="1" nd="1"/>
        <i x="433" s="1" nd="1"/>
        <i x="466" s="1" nd="1"/>
        <i x="52" s="1" nd="1"/>
        <i x="480" s="1" nd="1"/>
        <i x="460" s="1" nd="1"/>
        <i x="494" s="1" nd="1"/>
        <i x="152" s="1" nd="1"/>
        <i x="462" s="1" nd="1"/>
        <i x="47" s="1" nd="1"/>
        <i x="473" s="1" nd="1"/>
        <i x="75" s="1" nd="1"/>
        <i x="520" s="1" nd="1"/>
        <i x="126" s="1" nd="1"/>
        <i x="163" s="1" nd="1"/>
        <i x="643" s="1" nd="1"/>
        <i x="487" s="1" nd="1"/>
        <i x="65" s="1" nd="1"/>
        <i x="105" s="1" nd="1"/>
        <i x="138" s="1" nd="1"/>
        <i x="578" s="1" nd="1"/>
        <i x="211" s="1" nd="1"/>
        <i x="706" s="1" nd="1"/>
        <i x="83" s="1" nd="1"/>
        <i x="523" s="1" nd="1"/>
        <i x="533" s="1" nd="1"/>
        <i x="140" s="1" nd="1"/>
        <i x="580" s="1" nd="1"/>
        <i x="199" s="1" nd="1"/>
        <i x="645" s="1" nd="1"/>
        <i x="687" s="1" nd="1"/>
        <i x="109" s="1" nd="1"/>
        <i x="544" s="1" nd="1"/>
        <i x="561" s="1" nd="1"/>
        <i x="595" s="1" nd="1"/>
        <i x="610" s="1" nd="1"/>
        <i x="648" s="1" nd="1"/>
        <i x="671" s="1" nd="1"/>
        <i x="751" s="1" nd="1"/>
        <i x="305" s="1" nd="1"/>
        <i x="786" s="1" nd="1"/>
        <i x="548" s="1" nd="1"/>
        <i x="567" s="1" nd="1"/>
        <i x="146" s="1" nd="1"/>
        <i x="597" s="1" nd="1"/>
        <i x="174" s="1" nd="1"/>
        <i x="612" s="1" nd="1"/>
        <i x="191" s="1" nd="1"/>
        <i x="236" s="1" nd="1"/>
        <i x="692" s="1" nd="1"/>
        <i x="808" s="1" nd="1"/>
        <i x="177" s="1" nd="1"/>
        <i x="218" s="1" nd="1"/>
        <i x="674" s="1" nd="1"/>
        <i x="239" s="1" nd="1"/>
        <i x="810" s="1" nd="1"/>
        <i x="361" s="1" nd="1"/>
        <i x="827" s="1" nd="1"/>
        <i x="205" s="1" nd="1"/>
        <i x="788" s="1" nd="1"/>
        <i x="852" s="1" nd="1"/>
        <i x="400" s="1" nd="1"/>
        <i x="681" s="1" nd="1"/>
        <i x="259" s="1" nd="1"/>
        <i x="275" s="1" nd="1"/>
        <i x="757" s="1" nd="1"/>
        <i x="343" s="1" nd="1"/>
        <i x="829" s="1" nd="1"/>
        <i x="411" s="1" nd="1"/>
        <i x="881" s="1" nd="1"/>
        <i x="720" s="1" nd="1"/>
        <i x="282" s="1" nd="1"/>
        <i x="760" s="1" nd="1"/>
        <i x="775" s="1" nd="1"/>
        <i x="366" s="1" nd="1"/>
        <i x="413" s="1" nd="1"/>
        <i x="430" s="1" nd="1"/>
        <i x="445" s="1" nd="1"/>
        <i x="333" s="1" nd="1"/>
        <i x="819" s="1" nd="1"/>
        <i x="835" s="1" nd="1"/>
        <i x="887" s="1" nd="1"/>
        <i x="427" s="1" nd="1"/>
        <i x="440" s="1" nd="1"/>
        <i x="467" s="1" nd="1"/>
        <i x="53" s="1" nd="1"/>
        <i x="481" s="1" nd="1"/>
        <i x="442" s="1" nd="1"/>
        <i x="30" s="1" nd="1"/>
        <i x="40" s="1" nd="1"/>
        <i x="461" s="1" nd="1"/>
        <i x="472" s="1" nd="1"/>
        <i x="56" s="1" nd="1"/>
        <i x="576" s="1" nd="1"/>
        <i x="588" s="1" nd="1"/>
        <i x="502" s="1" nd="1"/>
        <i x="104" s="1" nd="1"/>
        <i x="117" s="1" nd="1"/>
        <i x="543" s="1" nd="1"/>
        <i x="606" s="1" nd="1"/>
        <i x="67" s="1" nd="1"/>
        <i x="77" s="1" nd="1"/>
        <i x="509" s="1" nd="1"/>
        <i x="557" s="1" nd="1"/>
        <i x="592" s="1" nd="1"/>
        <i x="628" s="1" nd="1"/>
        <i x="108" s="1" nd="1"/>
        <i x="118" s="1" nd="1"/>
        <i x="559" s="1" nd="1"/>
        <i x="142" s="1" nd="1"/>
        <i x="582" s="1" nd="1"/>
        <i x="609" s="1" nd="1"/>
        <i x="632" s="1" nd="1"/>
        <i x="670" s="1" nd="1"/>
        <i x="688" s="1" nd="1"/>
        <i x="268" s="1" nd="1"/>
        <i x="112" s="1" nd="1"/>
        <i x="565" s="1" nd="1"/>
        <i x="172" s="1" nd="1"/>
        <i x="200" s="1" nd="1"/>
        <i x="214" s="1" nd="1"/>
        <i x="235" s="1" nd="1"/>
        <i x="731" s="1" nd="1"/>
        <i x="752" s="1" nd="1"/>
        <i x="147" s="1" nd="1"/>
        <i x="193" s="1" nd="1"/>
        <i x="733" s="1" nd="1"/>
        <i x="770" s="1" nd="1"/>
        <i x="341" s="1" nd="1"/>
        <i x="809" s="1" nd="1"/>
        <i x="618" s="1" nd="1"/>
        <i x="308" s="1" nd="1"/>
        <i x="811" s="1" nd="1"/>
        <i x="657" s="1" nd="1"/>
        <i x="772" s="1" nd="1"/>
        <i x="323" s="1" nd="1"/>
        <i x="813" s="1" nd="1"/>
        <i x="840" s="1" nd="1"/>
        <i x="659" s="1" nd="1"/>
        <i x="261" s="1" nd="1"/>
        <i x="279" s="1" nd="1"/>
        <i x="300" s="1" nd="1"/>
        <i x="326" s="1" nd="1"/>
        <i x="364" s="1" nd="1"/>
        <i x="830" s="1" nd="1"/>
        <i x="375" s="1" nd="1"/>
        <i x="412" s="1" nd="1"/>
        <i x="724" s="1" nd="1"/>
        <i x="302" s="1" nd="1"/>
        <i x="328" s="1" nd="1"/>
        <i x="347" s="1" nd="1"/>
        <i x="386" s="1" nd="1"/>
        <i x="403" s="1" nd="1"/>
        <i x="869" s="1" nd="1"/>
        <i x="438" s="1" nd="1"/>
        <i x="444" s="1" nd="1"/>
        <i x="747" s="1" nd="1"/>
        <i x="316" s="1" nd="1"/>
        <i x="369" s="1" nd="1"/>
        <i x="832" s="1" nd="1"/>
        <i x="416" s="1" nd="1"/>
        <i x="886" s="1" nd="1"/>
        <i x="21" s="1" nd="1"/>
        <i x="446" s="1" nd="1"/>
        <i x="370" s="1" nd="1"/>
        <i x="456" s="1" nd="1"/>
        <i x="54" s="1" nd="1"/>
        <i x="59" s="1" nd="1"/>
        <i x="492" s="1" nd="1"/>
        <i x="41" s="1" nd="1"/>
        <i x="57" s="1" nd="1"/>
        <i x="92" s="1" nd="1"/>
        <i x="521" s="1" nd="1"/>
        <i x="542" s="1" nd="1"/>
        <i x="554" s="1" nd="1"/>
        <i x="577" s="1" nd="1"/>
        <i x="589" s="1" nd="1"/>
        <i x="164" s="1" nd="1"/>
        <i x="66" s="1" nd="1"/>
        <i x="495" s="1" nd="1"/>
        <i x="76" s="1" nd="1"/>
        <i x="503" s="1" nd="1"/>
        <i x="530" s="1" nd="1"/>
        <i x="579" s="1" nd="1"/>
        <i x="626" s="1" nd="1"/>
        <i x="505" s="1" nd="1"/>
        <i x="94" s="1" nd="1"/>
        <i x="141" s="1" nd="1"/>
        <i x="608" s="1" nd="1"/>
        <i x="232" s="1" nd="1"/>
        <i x="545" s="1" nd="1"/>
        <i x="212" s="1" nd="1"/>
        <i x="730" s="1" nd="1"/>
        <i x="549" s="1" nd="1"/>
        <i x="613" s="1" nd="1"/>
        <i x="192" s="1" nd="1"/>
        <i x="634" s="1" nd="1"/>
        <i x="237" s="1" nd="1"/>
        <i x="708" s="1" nd="1"/>
        <i x="294" s="1" nd="1"/>
        <i x="769" s="1" nd="1"/>
        <i x="635" s="1" nd="1"/>
        <i x="203" s="1" nd="1"/>
        <i x="651" s="1" nd="1"/>
        <i x="675" s="1" nd="1"/>
        <i x="253" s="1" nd="1"/>
        <i x="159" s="1" nd="1"/>
        <i x="653" s="1" nd="1"/>
        <i x="678" s="1" nd="1"/>
        <i x="735" s="1" nd="1"/>
        <i x="789" s="1" nd="1"/>
        <i x="342" s="1" nd="1"/>
        <i x="839" s="1" nd="1"/>
        <i x="621" s="1" nd="1"/>
        <i x="637" s="1" nd="1"/>
        <i x="224" s="1" nd="1"/>
        <i x="260" s="1" nd="1"/>
        <i x="276" s="1" nd="1"/>
        <i x="384" s="1" nd="1"/>
        <i x="868" s="1" nd="1"/>
        <i x="882" s="1" nd="1"/>
        <i x="227" s="1" nd="1"/>
        <i x="721" s="1" nd="1"/>
        <i x="793" s="1" nd="1"/>
        <i x="367" s="1" nd="1"/>
        <i x="843" s="1" nd="1"/>
        <i x="9" s="1" nd="1"/>
        <i x="745" s="1" nd="1"/>
        <i x="776" s="1" nd="1"/>
        <i x="349" s="1" nd="1"/>
        <i x="870" s="1" nd="1"/>
        <i x="432" s="1" nd="1"/>
        <i x="439" s="1" nd="1"/>
        <i x="24" s="1" nd="1"/>
        <i x="353" s="1" nd="1"/>
        <i x="836" s="1" nd="1"/>
        <i x="857" s="1" nd="1"/>
        <i x="428" s="1" nd="1"/>
        <i x="23" s="1" nd="1"/>
        <i x="455" s="1" nd="1"/>
        <i x="779" s="1" nd="1"/>
        <i x="335" s="1" nd="1"/>
        <i x="848" s="1" nd="1"/>
        <i x="407" s="1" nd="1"/>
        <i x="449" s="1" nd="1"/>
        <i x="458" s="1" nd="1"/>
        <i x="60" s="1" nd="1"/>
        <i x="474" s="1" nd="1"/>
        <i x="80" s="1" nd="1"/>
        <i x="529" s="1" nd="1"/>
        <i x="555" s="1" nd="1"/>
        <i x="137" s="1" nd="1"/>
        <i x="590" s="1" nd="1"/>
        <i x="165" s="1" nd="1"/>
        <i x="475" s="1" nd="1"/>
        <i x="504" s="1" nd="1"/>
        <i x="82" s="1" nd="1"/>
        <i x="106" s="1" nd="1"/>
        <i x="184" s="1" nd="1"/>
        <i x="629" s="1" nd="1"/>
        <i x="86" s="1" nd="1"/>
        <i x="96" s="1" nd="1"/>
        <i x="143" s="1" nd="1"/>
        <i x="593" s="1" nd="1"/>
        <i x="187" s="1" nd="1"/>
        <i x="647" s="1" nd="1"/>
        <i x="233" s="1" nd="1"/>
        <i x="689" s="1" nd="1"/>
        <i x="88" s="1" nd="1"/>
        <i x="99" s="1" nd="1"/>
        <i x="524" s="1" nd="1"/>
        <i x="113" s="1" nd="1"/>
        <i x="566" s="1" nd="1"/>
        <i x="201" s="1" nd="1"/>
        <i x="690" s="1" nd="1"/>
        <i x="251" s="1" nd="1"/>
        <i x="707" s="1" nd="1"/>
        <i x="732" s="1" nd="1"/>
        <i x="293" s="1" nd="1"/>
        <i x="526" s="1" nd="1"/>
        <i x="114" s="1" nd="1"/>
        <i x="538" s="1" nd="1"/>
        <i x="120" s="1" nd="1"/>
        <i x="148" s="1" nd="1"/>
        <i x="156" s="1" nd="1"/>
        <i x="711" s="1" nd="1"/>
        <i x="271" s="1" nd="1"/>
        <i x="295" s="1" nd="1"/>
        <i x="306" s="1" nd="1"/>
        <i x="771" s="1" nd="1"/>
        <i x="131" s="1" nd="1"/>
        <i x="619" s="1" nd="1"/>
        <i x="677" s="1" nd="1"/>
        <i x="694" s="1" nd="1"/>
        <i x="255" s="1" nd="1"/>
        <i x="273" s="1" nd="1"/>
        <i x="812" s="1" nd="1"/>
        <i x="362" s="1" nd="1"/>
        <i x="161" s="1" nd="1"/>
        <i x="181" s="1" nd="1"/>
        <i x="195" s="1" nd="1"/>
        <i x="207" s="1" nd="1"/>
        <i x="221" s="1" nd="1"/>
        <i x="696" s="1" nd="1"/>
        <i x="324" s="1" nd="1"/>
        <i x="791" s="1" nd="1"/>
        <i x="841" s="1" nd="1"/>
        <i x="624" s="1" nd="1"/>
        <i x="660" s="1" nd="1"/>
        <i x="682" s="1" nd="1"/>
        <i x="246" s="1" nd="1"/>
        <i x="697" s="1" nd="1"/>
        <i x="280" s="1" nd="1"/>
        <i x="741" s="1" nd="1"/>
        <i x="758" s="1" nd="1"/>
        <i x="344" s="1" nd="1"/>
        <i x="814" s="1" nd="1"/>
        <i x="376" s="1" nd="1"/>
        <i x="853" s="1" nd="1"/>
        <i x="884" s="1" nd="1"/>
        <i x="661" s="1" nd="1"/>
        <i x="700" s="1" nd="1"/>
        <i x="725" s="1" nd="1"/>
        <i x="743" s="1" nd="1"/>
        <i x="762" s="1" nd="1"/>
        <i x="329" s="1" nd="1"/>
        <i x="348" s="1" nd="1"/>
        <i x="815" s="1" nd="1"/>
        <i x="378" s="1" nd="1"/>
        <i x="885" s="1" nd="1"/>
        <i x="10" s="1" nd="1"/>
        <i x="431" s="1" nd="1"/>
        <i x="702" s="1" nd="1"/>
        <i x="287" s="1" nd="1"/>
        <i x="777" s="1" nd="1"/>
        <i x="332" s="1" nd="1"/>
        <i x="833" s="1" nd="1"/>
        <i x="379" s="1" nd="1"/>
        <i x="856" s="1" nd="1"/>
        <i x="404" s="1" nd="1"/>
        <i x="426" s="1" nd="1"/>
        <i x="22" s="1" nd="1"/>
        <i x="765" s="1" nd="1"/>
        <i x="799" s="1" nd="1"/>
        <i x="847" s="1" nd="1"/>
        <i x="859" s="1" nd="1"/>
        <i x="874" s="1" nd="1"/>
        <i x="12" s="1" nd="1"/>
        <i x="448" s="1" nd="1"/>
        <i x="457" s="1" nd="1"/>
        <i x="780" s="1" nd="1"/>
        <i x="336" s="1" nd="1"/>
        <i x="823" s="1" nd="1"/>
        <i x="861" s="1" nd="1"/>
        <i x="420" s="1" nd="1"/>
        <i x="450" s="1" nd="1"/>
        <i x="48" s="1" nd="1"/>
        <i x="488" s="1" nd="1"/>
        <i x="81" s="1" nd="1"/>
        <i x="522" s="1" nd="1"/>
        <i x="531" s="1" nd="1"/>
        <i x="556" s="1" nd="1"/>
        <i x="139" s="1" nd="1"/>
        <i x="591" s="1" nd="1"/>
        <i x="627" s="1" nd="1"/>
        <i x="49" s="1" nd="1"/>
        <i x="69" s="1" nd="1"/>
        <i x="84" s="1" nd="1"/>
        <i x="95" s="1" nd="1"/>
        <i x="581" s="1" nd="1"/>
        <i x="185" s="1" nd="1"/>
        <i x="631" s="1" nd="1"/>
        <i x="490" s="1" nd="1"/>
        <i x="512" s="1" nd="1"/>
        <i x="154" s="1" nd="1"/>
        <i x="611" s="1" nd="1"/>
        <i x="213" s="1" nd="1"/>
        <i x="234" s="1" nd="1"/>
        <i x="515" s="1" nd="1"/>
        <i x="215" s="1" nd="1"/>
        <i x="709" s="1" nd="1"/>
        <i x="539" s="1" nd="1"/>
        <i x="551" s="1" nd="1"/>
        <i x="570" s="1" nd="1"/>
        <i x="616" s="1" nd="1"/>
        <i x="204" s="1" nd="1"/>
        <i x="652" s="1" nd="1"/>
        <i x="219" s="1" nd="1"/>
        <i x="240" s="1" nd="1"/>
        <i x="296" s="1" nd="1"/>
        <i x="307" s="1" nd="1"/>
        <i x="322" s="1" nd="1"/>
        <i x="571" s="1" nd="1"/>
        <i x="160" s="1" nd="1"/>
        <i x="601" s="1" nd="1"/>
        <i x="180" s="1" nd="1"/>
        <i x="654" s="1" nd="1"/>
        <i x="679" s="1" nd="1"/>
        <i x="274" s="1" nd="1"/>
        <i x="736" s="1" nd="1"/>
        <i x="585" s="1" nd="1"/>
        <i x="622" s="1" nd="1"/>
        <i x="196" s="1" nd="1"/>
        <i x="717" s="1" nd="1"/>
        <i x="298" s="1" nd="1"/>
        <i x="312" s="1" nd="1"/>
        <i x="374" s="1" nd="1"/>
        <i x="228" s="1" nd="1"/>
        <i x="248" s="1" nd="1"/>
        <i x="722" s="1" nd="1"/>
        <i x="283" s="1" nd="1"/>
        <i x="742" s="1" nd="1"/>
        <i x="301" s="1" nd="1"/>
        <i x="794" s="1" nd="1"/>
        <i x="663" s="1" nd="1"/>
        <i x="684" s="1" nd="1"/>
        <i x="314" s="1" nd="1"/>
        <i x="796" s="1" nd="1"/>
        <i x="334" s="1" nd="1"/>
        <i x="354" s="1" nd="1"/>
        <i x="381" s="1" nd="1"/>
        <i x="389" s="1" nd="1"/>
        <i x="858" s="1" nd="1"/>
        <i x="871" s="1" nd="1"/>
        <i x="434" s="1" nd="1"/>
        <i x="447" s="1" nd="1"/>
        <i x="767" s="1" nd="1"/>
        <i x="317" s="1" nd="1"/>
        <i x="800" s="1" nd="1"/>
        <i x="821" s="1" nd="1"/>
        <i x="849" s="1" nd="1"/>
        <i x="391" s="1" nd="1"/>
        <i x="860" s="1" nd="1"/>
        <i x="418" s="1" nd="1"/>
        <i x="468" s="1" nd="1"/>
        <i x="781" s="1" nd="1"/>
        <i x="803" s="1" nd="1"/>
        <i x="837" s="1" nd="1"/>
        <i x="891" s="1" nd="1"/>
        <i x="34" s="1" nd="1"/>
        <i x="55" s="1" nd="1"/>
        <i x="482" s="1" nd="1"/>
        <i x="61" s="1" nd="1"/>
        <i x="72" s="1" nd="1"/>
        <i x="42" s="1" nd="1"/>
        <i x="463" s="1" nd="1"/>
        <i x="476" s="1" nd="1"/>
        <i x="68" s="1" nd="1"/>
        <i x="107" s="1" nd="1"/>
        <i x="558" s="1" nd="1"/>
        <i x="167" s="1" nd="1"/>
        <i x="630" s="1" nd="1"/>
        <i x="489" s="1" nd="1"/>
        <i x="78" s="1" nd="1"/>
        <i x="119" s="1" nd="1"/>
        <i x="560" s="1" nd="1"/>
        <i x="153" s="1" nd="1"/>
        <i x="188" s="1" nd="1"/>
        <i x="497" s="1" nd="1"/>
        <i x="537" s="1" nd="1"/>
        <i x="190" s="1" nd="1"/>
        <i x="649" s="1" nd="1"/>
        <i x="691" s="1" nd="1"/>
        <i x="115" s="1" nd="1"/>
        <i x="598" s="1" nd="1"/>
        <i x="176" s="1" nd="1"/>
        <i x="650" s="1" nd="1"/>
        <i x="672" s="1" nd="1"/>
        <i x="712" s="1" nd="1"/>
        <i x="122" s="1" nd="1"/>
        <i x="158" s="1" nd="1"/>
        <i x="179" s="1" nd="1"/>
        <i x="695" s="1" nd="1"/>
        <i x="256" s="1" nd="1"/>
        <i x="714" s="1" nd="1"/>
        <i x="753" s="1" nd="1"/>
        <i x="309" s="1" nd="1"/>
        <i x="553" s="1" nd="1"/>
        <i x="134" s="1" nd="1"/>
        <i x="572" s="1" nd="1"/>
        <i x="182" s="1" nd="1"/>
        <i x="658" s="1" nd="1"/>
        <i x="222" s="1" nd="1"/>
        <i x="258" s="1" nd="1"/>
        <i x="755" s="1" nd="1"/>
        <i x="310" s="1" nd="1"/>
        <i x="325" s="1" nd="1"/>
        <i x="586" s="1" nd="1"/>
        <i x="225" s="1" nd="1"/>
        <i x="698" s="1" nd="1"/>
        <i x="365" s="1" nd="1"/>
        <i x="842" s="1" nd="1"/>
        <i x="385" s="1" nd="1"/>
        <i x="625" s="1" nd="1"/>
        <i x="640" s="1" nd="1"/>
        <i x="662" s="1" nd="1"/>
        <i x="683" s="1" nd="1"/>
        <i x="726" s="1" nd="1"/>
        <i x="330" s="1" nd="1"/>
        <i x="816" s="1" nd="1"/>
        <i x="368" s="1" nd="1"/>
        <i x="831" s="1" nd="1"/>
        <i x="844" s="1" nd="1"/>
        <i x="387" s="1" nd="1"/>
        <i x="854" s="1" nd="1"/>
        <i x="664" s="1" nd="1"/>
        <i x="685" s="1" nd="1"/>
        <i x="263" s="1" nd="1"/>
        <i x="728" s="1" nd="1"/>
        <i x="748" s="1" nd="1"/>
        <i x="764" s="1" nd="1"/>
        <i x="846" s="1" nd="1"/>
        <i x="417" s="1" nd="1"/>
        <i x="11" s="1" nd="1"/>
        <i x="704" s="1" nd="1"/>
        <i x="749" s="1" nd="1"/>
        <i x="303" s="1" nd="1"/>
        <i x="382" s="1" nd="1"/>
        <i x="406" s="1" nd="1"/>
        <i x="875" s="1" nd="1"/>
        <i x="888" s="1" nd="1"/>
        <i x="13" s="1" nd="1"/>
        <i x="436" s="1" nd="1"/>
        <i x="25" s="1" nd="1"/>
        <i x="318" s="1" nd="1"/>
        <i x="337" s="1" nd="1"/>
        <i x="393" s="1" nd="1"/>
        <i x="43" s="1" nd="1"/>
        <i x="850" s="1" nd="1"/>
        <i x="17" s="1" nd="1"/>
        <i x="28" s="1" nd="1"/>
        <i x="35" s="1" nd="1"/>
        <i x="73" s="1" nd="1"/>
        <i x="464" s="1" nd="1"/>
        <i x="477" s="1" nd="1"/>
        <i x="506" s="1" nd="1"/>
        <i x="85" s="1" nd="1"/>
        <i x="510" s="1" nd="1"/>
        <i x="127" s="1" nd="1"/>
        <i x="168" s="1" nd="1"/>
        <i x="478" s="1" nd="1"/>
        <i x="70" s="1" nd="1"/>
        <i x="513" s="1" nd="1"/>
        <i x="110" s="1" nd="1"/>
        <i x="536" s="1" nd="1"/>
        <i x="546" s="1" nd="1"/>
        <i x="129" s="1" nd="1"/>
        <i x="562" s="1" nd="1"/>
        <i x="101" s="1" nd="1"/>
        <i x="525" s="1" nd="1"/>
        <i x="568" s="1" nd="1"/>
        <i x="614" s="1" nd="1"/>
        <i x="202" s="1" nd="1"/>
        <i x="693" s="1" nd="1"/>
        <i x="710" s="1" nd="1"/>
        <i x="89" s="1" nd="1"/>
        <i x="149" s="1" nd="1"/>
        <i x="617" s="1" nd="1"/>
        <i x="194" s="1" nd="1"/>
        <i x="676" s="1" nd="1"/>
        <i x="272" s="1" nd="1"/>
        <i x="527" s="1" nd="1"/>
        <i x="123" s="1" nd="1"/>
        <i x="133" s="1" nd="1"/>
        <i x="602" s="1" nd="1"/>
        <i x="206" s="1" nd="1"/>
        <i x="737" s="1" nd="1"/>
        <i x="573" s="1" nd="1"/>
        <i x="151" s="1" nd="1"/>
        <i x="638" s="1" nd="1"/>
        <i x="277" s="1" nd="1"/>
        <i x="299" s="1" nd="1"/>
        <i x="792" s="1" nd="1"/>
        <i x="363" s="1" nd="1"/>
        <i x="229" s="1" nd="1"/>
        <i x="723" s="1" nd="1"/>
        <i x="346" s="1" nd="1"/>
        <i x="377" s="1" nd="1"/>
        <i x="642" s="1" nd="1"/>
        <i x="208" s="1" nd="1"/>
        <i x="230" s="1" nd="1"/>
        <i x="286" s="1" nd="1"/>
        <i x="746" s="1" nd="1"/>
        <i x="763" s="1" nd="1"/>
        <i x="315" s="1" nd="1"/>
        <i x="797" s="1" nd="1"/>
        <i x="350" s="1" nd="1"/>
        <i x="415" s="1" nd="1"/>
        <i x="666" s="1" nd="1"/>
        <i x="703" s="1" nd="1"/>
        <i x="288" s="1" nd="1"/>
        <i x="872" s="1" nd="1"/>
        <i x="435" s="1" nd="1"/>
        <i x="265" s="1" nd="1"/>
        <i x="801" s="1" nd="1"/>
        <i x="392" s="1" nd="1"/>
        <i x="876" s="1" nd="1"/>
        <i x="419" s="1" nd="1"/>
        <i x="32" s="1" nd="1"/>
        <i x="750" s="1" nd="1"/>
        <i x="355" s="1" nd="1"/>
        <i x="395" s="1" nd="1"/>
        <i x="862" s="1" nd="1"/>
        <i x="877" s="1" nd="1"/>
        <i x="44" s="1" nd="1"/>
        <i x="469" s="1" nd="1"/>
        <i x="783" s="1" nd="1"/>
        <i x="339" s="1" nd="1"/>
        <i x="804" s="1" nd="1"/>
        <i x="36" s="1" nd="1"/>
        <i x="483" s="1" nd="1"/>
        <i x="493" s="1" nd="1"/>
        <i x="50" s="1" nd="1"/>
        <i x="496" s="1" nd="1"/>
        <i x="79" s="1" nd="1"/>
        <i x="507" s="1" nd="1"/>
        <i x="511" s="1" nd="1"/>
        <i x="97" s="1" nd="1"/>
        <i x="535" s="1" nd="1"/>
        <i x="144" s="1" nd="1"/>
        <i x="594" s="1" nd="1"/>
        <i x="170" s="1" nd="1"/>
        <i x="633" s="1" nd="1"/>
        <i x="51" s="1" nd="1"/>
        <i x="58" s="1" nd="1"/>
        <i x="498" s="1" nd="1"/>
        <i x="514" s="1" nd="1"/>
        <i x="100" s="1" nd="1"/>
        <i x="596" s="1" nd="1"/>
        <i x="173" s="1" nd="1"/>
        <i x="499" s="1" nd="1"/>
        <i x="508" s="1" nd="1"/>
        <i x="550" s="1" nd="1"/>
        <i x="130" s="1" nd="1"/>
        <i x="569" s="1" nd="1"/>
        <i x="217" s="1" nd="1"/>
        <i x="673" s="1" nd="1"/>
        <i x="713" s="1" nd="1"/>
        <i x="91" s="1" nd="1"/>
        <i x="516" s="1" nd="1"/>
        <i x="132" s="1" nd="1"/>
        <i x="600" s="1" nd="1"/>
        <i x="715" s="1" nd="1"/>
        <i x="135" s="1" nd="1"/>
        <i x="620" s="1" nd="1"/>
        <i x="636" s="1" nd="1"/>
        <i x="223" s="1" nd="1"/>
        <i x="244" s="1" nd="1"/>
        <i x="739" s="1" nd="1"/>
        <i x="756" s="1" nd="1"/>
        <i x="311" s="1" nd="1"/>
        <i x="773" s="1" nd="1"/>
        <i x="226" s="1" nd="1"/>
        <i x="247" s="1" nd="1"/>
        <i x="281" s="1" nd="1"/>
        <i x="759" s="1" nd="1"/>
        <i x="327" s="1" nd="1"/>
        <i x="345" s="1" nd="1"/>
        <i x="604" s="1" nd="1"/>
        <i x="198" s="1" nd="1"/>
        <i x="641" s="1" nd="1"/>
        <i x="701" s="1" nd="1"/>
        <i x="727" s="1" nd="1"/>
        <i x="285" s="1" nd="1"/>
        <i x="744" s="1" nd="1"/>
        <i x="845" s="1" nd="1"/>
        <i x="855" s="1" nd="1"/>
        <i x="209" s="1" nd="1"/>
        <i x="665" s="1" nd="1"/>
        <i x="264" s="1" nd="1"/>
        <i x="798" s="1" nd="1"/>
        <i x="818" s="1" nd="1"/>
        <i x="834" s="1" nd="1"/>
        <i x="380" s="1" nd="1"/>
        <i x="388" s="1" nd="1"/>
        <i x="405" s="1" nd="1"/>
        <i x="667" s="1" nd="1"/>
        <i x="766" s="1" nd="1"/>
        <i x="778" s="1" nd="1"/>
        <i x="820" s="1" nd="1"/>
        <i x="390" s="1" nd="1"/>
        <i x="889" s="1" nd="1"/>
        <i x="14" s="1" nd="1"/>
        <i x="266" s="1" nd="1"/>
        <i x="290" s="1" nd="1"/>
        <i x="319" s="1" nd="1"/>
        <i x="338" s="1" nd="1"/>
        <i x="824" s="1" nd="1"/>
        <i x="371" s="1" nd="1"/>
        <i x="394" s="1" nd="1"/>
        <i x="16" s="1" nd="1"/>
        <i x="26" s="1" nd="1"/>
        <i x="33" s="1" nd="1"/>
        <i x="768" s="1" nd="1"/>
        <i x="357" s="1" nd="1"/>
        <i x="372" s="1" nd="1"/>
        <i x="396" s="1" nd="1"/>
        <i x="864" s="1" nd="1"/>
        <i x="422" s="1" nd="1"/>
        <i x="18" s="1" nd="1"/>
        <i x="451" s="1" nd="1"/>
        <i x="459" s="1" nd="1"/>
        <i x="784" s="1" nd="1"/>
        <i x="806" s="1" nd="1"/>
        <i x="358" s="1" nd="1"/>
        <i x="866" s="1" nd="1"/>
        <i x="423" s="1" nd="1"/>
        <i x="429" s="1" nd="1"/>
        <i x="441" s="1" nd="1"/>
        <i x="37" s="1" nd="1"/>
        <i x="45" s="1" nd="1"/>
        <i x="484" s="1" nd="1"/>
        <i x="62" s="1" nd="1"/>
        <i x="443" s="1" nd="1"/>
        <i x="31" s="1" nd="1"/>
        <i x="479" s="1" nd="1"/>
        <i x="491" s="1" nd="1"/>
        <i x="87" s="1" nd="1"/>
        <i x="98" s="1" nd="1"/>
        <i x="111" s="1" nd="1"/>
        <i x="547" s="1" nd="1"/>
        <i x="563" s="1" nd="1"/>
        <i x="155" s="1" nd="1"/>
        <i x="171" s="1" nd="1"/>
        <i x="465" s="1" nd="1"/>
        <i x="175" s="1" nd="1"/>
        <i x="71" s="1" nd="1"/>
        <i x="500" s="1" nd="1"/>
        <i x="90" s="1" nd="1"/>
        <i x="102" s="1" nd="1"/>
        <i x="121" s="1" nd="1"/>
        <i x="157" s="1" nd="1"/>
        <i x="599" s="1" nd="1"/>
        <i x="178" s="1" nd="1"/>
        <i x="241" s="1" nd="1"/>
        <i x="517" s="1" nd="1"/>
        <i x="540" s="1" nd="1"/>
        <i x="124" s="1" nd="1"/>
        <i x="552" s="1" nd="1"/>
        <i x="150" s="1" nd="1"/>
        <i x="584" s="1" nd="1"/>
        <i x="603" s="1" nd="1"/>
        <i x="655" s="1" nd="1"/>
        <i x="242" s="1" nd="1"/>
        <i x="257" s="1" nd="1"/>
        <i x="297" s="1" nd="1"/>
        <i x="528" s="1" nd="1"/>
        <i x="116" s="1" nd="1"/>
        <i x="574" s="1" nd="1"/>
        <i x="623" s="1" nd="1"/>
        <i x="639" s="1" nd="1"/>
        <i x="245" s="1" nd="1"/>
        <i x="718" s="1" nd="1"/>
        <i x="278" s="1" nd="1"/>
        <i x="313" s="1" nd="1"/>
        <i x="774" s="1" nd="1"/>
        <i x="136" s="1" nd="1"/>
        <i x="575" s="1" nd="1"/>
        <i x="197" s="1" nd="1"/>
        <i x="699" s="1" nd="1"/>
        <i x="262" s="1" nd="1"/>
        <i x="284" s="1" nd="1"/>
        <i x="761" s="1" nd="1"/>
        <i x="795" s="1" nd="1"/>
        <i x="162" s="1" nd="1"/>
        <i x="605" s="1" nd="1"/>
        <i x="331" s="1" nd="1"/>
        <i x="351" s="1" nd="1"/>
        <i x="817" s="1" nd="1"/>
        <i x="289" s="1" nd="1"/>
        <i x="873" s="1" nd="1"/>
        <i x="686" s="1" nd="1"/>
        <i x="802" s="1" nd="1"/>
        <i x="822" s="1" nd="1"/>
        <i x="890" s="1" nd="1"/>
        <i x="15" s="1" nd="1"/>
        <i x="705" s="1" nd="1"/>
        <i x="729" s="1" nd="1"/>
        <i x="291" s="1" nd="1"/>
        <i x="320" s="1" nd="1"/>
        <i x="782" s="1" nd="1"/>
        <i x="356" s="1" nd="1"/>
        <i x="825" s="1" nd="1"/>
        <i x="863" s="1" nd="1"/>
        <i x="408" s="1" nd="1"/>
        <i x="878" s="1" nd="1"/>
        <i x="421" s="1" nd="1"/>
        <i x="27" s="1" nd="1"/>
        <i x="304" s="1" nd="1"/>
        <i x="805" s="1" nd="1"/>
        <i x="826" s="1" nd="1"/>
        <i x="373" s="1" nd="1"/>
        <i x="851" s="1" nd="1"/>
        <i x="397" s="1" nd="1"/>
        <i x="865" s="1" nd="1"/>
        <i x="879" s="1" nd="1"/>
        <i x="19" s="1" nd="1"/>
        <i x="437" s="1" nd="1"/>
        <i x="452" s="1" nd="1"/>
        <i x="470" s="1" nd="1"/>
        <i x="340" s="1" nd="1"/>
        <i x="807" s="1" nd="1"/>
        <i x="359" s="1" nd="1"/>
        <i x="398" s="1" nd="1"/>
        <i x="424" s="1" nd="1"/>
        <i x="892" s="1" nd="1"/>
        <i x="20" s="1" nd="1"/>
        <i x="453" s="1" nd="1"/>
        <i x="38" s="1" nd="1"/>
        <i x="46" s="1" nd="1"/>
        <i x="485" s="1" nd="1"/>
        <i x="63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de delito" xr10:uid="{BCFB0DE2-A5C9-44E6-A9BC-4DE8ACB85485}" cache="SegmentaciónDeDatos_Tipo_de_delito" caption="Tipo de delito" rowHeight="241300"/>
  <slicer name="Ubicación" xr10:uid="{99183BAC-10E3-454A-A536-991B8B52B0E8}" cache="SegmentaciónDeDatos_Ubicación" caption="Ubicación" rowHeight="241300"/>
  <slicer name="Años" xr10:uid="{0E765E4C-1CA5-40DB-BA44-51A232887157}" cache="SegmentaciónDeDatos_Años" caption="Años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de delito 1" xr10:uid="{8F26A1DB-A0BB-46BD-879D-1AF56DC7552A}" cache="SegmentaciónDeDatos_Tipo_de_delito" caption="Tipo de delito" style="SlicerStyleDark3" rowHeight="241300"/>
  <slicer name="Ubicación 1" xr10:uid="{3ACF3EC9-A164-4001-9489-2067FC506CC9}" cache="SegmentaciónDeDatos_Ubicación" caption="Ubicación" style="SlicerStyleDark3" rowHeight="241300"/>
  <slicer name="DÍA 1" xr10:uid="{87335309-10BF-4F3F-98FD-89FB51C17E18}" cache="SegmentaciónDeDatos_DÍA" caption="DÍA" style="SlicerStyleDark3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660B1C-03BD-4E8A-838E-F26330CE3AFC}" name="crimenes_cordoba_ampliado" displayName="crimenes_cordoba_ampliado" ref="A1:AC1001" tableType="queryTable" totalsRowShown="0">
  <autoFilter ref="A1:AC1001" xr:uid="{BD660B1C-03BD-4E8A-838E-F26330CE3AFC}"/>
  <sortState xmlns:xlrd2="http://schemas.microsoft.com/office/spreadsheetml/2017/richdata2" ref="A2:AC1000">
    <sortCondition ref="A1:A1001"/>
  </sortState>
  <tableColumns count="29">
    <tableColumn id="1" xr3:uid="{814A1A94-4673-44BC-81BA-D069BF38A0B9}" uniqueName="1" name="ID" queryTableFieldId="1"/>
    <tableColumn id="2" xr3:uid="{3EE2D024-8AB9-4513-A6D1-FF097C3E77A1}" uniqueName="2" name="Fecha" queryTableFieldId="2" dataDxfId="32"/>
    <tableColumn id="28" xr3:uid="{4AF4E43A-3A2D-41D6-BB94-EE36E3027B49}" uniqueName="28" name="AÑO" queryTableFieldId="28" dataDxfId="31">
      <calculatedColumnFormula>B:B</calculatedColumnFormula>
    </tableColumn>
    <tableColumn id="29" xr3:uid="{E2B107CA-BCD8-42F8-A0F5-37D0E164D04B}" uniqueName="29" name="MES" queryTableFieldId="29" dataDxfId="30">
      <calculatedColumnFormula>B:B</calculatedColumnFormula>
    </tableColumn>
    <tableColumn id="26" xr3:uid="{DF9B6F1A-039D-40B4-87DE-74EA215C5477}" uniqueName="26" name="DÍA" queryTableFieldId="31" dataDxfId="29"/>
    <tableColumn id="3" xr3:uid="{907183F3-C0C3-4097-A8BC-27558C025498}" uniqueName="3" name="Hora" queryTableFieldId="3" dataDxfId="28"/>
    <tableColumn id="4" xr3:uid="{AA684E82-1AF0-4617-9BAA-152839DA0F5D}" uniqueName="4" name="Tipo de delito" queryTableFieldId="4" dataDxfId="27"/>
    <tableColumn id="5" xr3:uid="{4990D06D-4E11-4296-843E-9384BBE892FE}" uniqueName="5" name="Ubicación" queryTableFieldId="5" dataDxfId="26"/>
    <tableColumn id="27" xr3:uid="{ADB34DE8-07C6-4418-B829-2D994A3B4219}" uniqueName="27" name="LATITUD &amp; LONGITUD" queryTableFieldId="26" dataDxfId="25">
      <calculatedColumnFormula>VLOOKUP(H2,Tabla5[#All],4,FALSE)</calculatedColumnFormula>
    </tableColumn>
    <tableColumn id="6" xr3:uid="{32F50F76-BE8B-4900-AE55-E743D7F973CE}" uniqueName="6" name="Fecha Nac. Delincuente" queryTableFieldId="6" dataDxfId="24"/>
    <tableColumn id="20" xr3:uid="{E400383E-B276-42E5-9C04-C4A12CA540BB}" uniqueName="20" name="EDAD DELINCUENTE" queryTableFieldId="20" dataDxfId="23">
      <calculatedColumnFormula>INT((crimenes_cordoba_ampliado[[#This Row],[Fecha]]-crimenes_cordoba_ampliado[[#This Row],[Fecha Nac. Delincuente]])/365)</calculatedColumnFormula>
    </tableColumn>
    <tableColumn id="22" xr3:uid="{5387B6A3-691D-44B6-B223-CECF1476D6A7}" uniqueName="22" name="RANGO ETAREO DEL." queryTableFieldId="22" dataDxfId="22">
      <calculatedColumnFormula>_xlfn.XLOOKUP(crimenes_cordoba_ampliado[[#This Row],[EDAD DELINCUENTE]],'Rango etareo'!$A$10:$A$25,'Rango etareo'!$B$10:$B$25,,-1)</calculatedColumnFormula>
    </tableColumn>
    <tableColumn id="7" xr3:uid="{D4CD1215-0891-4801-991D-BE936164FA62}" uniqueName="7" name="Género Delincuente" queryTableFieldId="7" dataDxfId="21"/>
    <tableColumn id="24" xr3:uid="{43FED324-EF84-4EE8-8C62-19EA4A6187B2}" uniqueName="24" name="Ícono del." queryTableFieldId="24" dataDxfId="20">
      <calculatedColumnFormula>IF(crimenes_cordoba_ampliado[[#This Row],[Género Delincuente]]="Femenino","🚺","🚹")</calculatedColumnFormula>
    </tableColumn>
    <tableColumn id="8" xr3:uid="{F3FF0C39-BAB0-4B55-86DE-83A2EEF9AFFE}" uniqueName="8" name="Cantidad de Delincuentes" queryTableFieldId="8"/>
    <tableColumn id="9" xr3:uid="{7AADF0EC-AF50-4786-A93F-1ABB3A74D31A}" uniqueName="9" name="Fecha Nac. Víctima" queryTableFieldId="9" dataDxfId="19"/>
    <tableColumn id="21" xr3:uid="{612E659F-312E-46AF-AB20-BCC617CD3A4F}" uniqueName="21" name="EDAD VICTIMA" queryTableFieldId="21" dataDxfId="18">
      <calculatedColumnFormula>INT((crimenes_cordoba_ampliado[[#This Row],[Fecha]]-crimenes_cordoba_ampliado[[#This Row],[Fecha Nac. Víctima]])/365)</calculatedColumnFormula>
    </tableColumn>
    <tableColumn id="23" xr3:uid="{75130562-8687-4F83-B53D-864391C7117A}" uniqueName="23" name="RANGO ETAREO VIC." queryTableFieldId="23" dataDxfId="17">
      <calculatedColumnFormula>_xlfn.XLOOKUP(crimenes_cordoba_ampliado[[#This Row],[EDAD VICTIMA]],'Rango etareo'!$A$2:$A$25,'Rango etareo'!$B$2:$B$25,,-1)</calculatedColumnFormula>
    </tableColumn>
    <tableColumn id="10" xr3:uid="{46079EF8-8E68-40F8-BDD4-ED2F6B9EF1DF}" uniqueName="10" name="Género Víctima" queryTableFieldId="10" dataDxfId="16"/>
    <tableColumn id="25" xr3:uid="{8658D218-EE8E-45FB-A23F-6FED81BF5638}" uniqueName="25" name="Ícono vic." queryTableFieldId="25" dataDxfId="15">
      <calculatedColumnFormula>IF(crimenes_cordoba_ampliado[[#This Row],[Género Víctima]]="Masculino","🚹","🚺")</calculatedColumnFormula>
    </tableColumn>
    <tableColumn id="11" xr3:uid="{AD69756C-318D-4449-A814-1E67C7757A25}" uniqueName="11" name="Cantidad de Víctimas" queryTableFieldId="11"/>
    <tableColumn id="12" xr3:uid="{67D73E8C-CE46-4AEB-AF0C-B0B6597D7D0C}" uniqueName="12" name="Hubo Arresto" queryTableFieldId="12" dataDxfId="14"/>
    <tableColumn id="13" xr3:uid="{866D9ADB-B696-459C-AD30-0CF86D1F8EDC}" uniqueName="13" name="Tipo de arma" queryTableFieldId="13" dataDxfId="13"/>
    <tableColumn id="14" xr3:uid="{37EA7C72-663B-4DBB-9329-2668F7C63F5F}" uniqueName="14" name="Agravante" queryTableFieldId="14" dataDxfId="12"/>
    <tableColumn id="15" xr3:uid="{C7704B71-5F48-42A5-95D0-2912E7C7E03A}" uniqueName="15" name="Objeto Robado/Dañado" queryTableFieldId="15" dataDxfId="11"/>
    <tableColumn id="16" xr3:uid="{96333634-227C-4CF6-8CE6-762B729E96A3}" uniqueName="16" name="Presencia de Drogas" queryTableFieldId="16" dataDxfId="10"/>
    <tableColumn id="17" xr3:uid="{A455B6F0-7116-4E53-B321-C5F6BFB2C563}" uniqueName="17" name="Presencia de Alcohol" queryTableFieldId="17" dataDxfId="9"/>
    <tableColumn id="18" xr3:uid="{61B89E28-F92A-4F4E-87B5-5910B2074D61}" uniqueName="18" name="Estado del Caso" queryTableFieldId="18" dataDxfId="8"/>
    <tableColumn id="19" xr3:uid="{6A2D1FFF-6ADB-4B60-8F3D-4454513007C5}" uniqueName="19" name="Sentencia (meses)" queryTableFieldId="19" dataDxfId="7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3492BB-DBBA-4DAE-A484-1B3C3ABC1A7F}" name="Tabla5" displayName="Tabla5" ref="A1:D13" totalsRowShown="0" headerRowDxfId="6" dataDxfId="5">
  <autoFilter ref="A1:D13" xr:uid="{0C3492BB-DBBA-4DAE-A484-1B3C3ABC1A7F}"/>
  <tableColumns count="4">
    <tableColumn id="1" xr3:uid="{9ED6236B-D429-4D07-9C89-76BC7EE3FFB3}" name="Columna1" dataDxfId="4"/>
    <tableColumn id="3" xr3:uid="{B54FDC16-BE42-4A30-B6E1-7621FF9B3B45}" name="LATITUD" dataDxfId="3"/>
    <tableColumn id="4" xr3:uid="{510C8F9F-D449-4CD9-A6C4-5FFF614E065A}" name="LONGITUD" dataDxfId="2"/>
    <tableColumn id="5" xr3:uid="{23E73EE3-1BDE-4963-ACB4-E93AD40D8F42}" name="Columna2" dataDxfId="1">
      <calculatedColumnFormula>CONCATENATE(Tabla5[[#This Row],[LATITUD]],", ",Tabla5[[#This Row],[LONGITUD]])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AÑO" xr10:uid="{1F8D1A00-D7BF-4F06-AC86-7C3D3BB14426}" sourceName="AÑO">
  <pivotTables>
    <pivotTable tabId="13" name="TablaDinámica5"/>
    <pivotTable tabId="19" name="TablaDinámica11"/>
    <pivotTable tabId="12" name="TablaDinámica10"/>
    <pivotTable tabId="15" name="TablaDinámica1"/>
    <pivotTable tabId="17" name="TablaDinámica2"/>
  </pivotTables>
  <state minimalRefreshVersion="6" lastRefreshVersion="6" pivotCacheId="385518779" filterType="unknown">
    <bounds startDate="2015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AÑO" xr10:uid="{EBE8BD99-9AB7-41F8-964E-C3C2392D4820}" cache="NativeTimeline_AÑO" caption="AÑO" level="0" selectionLevel="0" scrollPosition="2018-10-28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AÑO 1" xr10:uid="{5E940B84-35F1-4A30-8BC7-258664AB4BC3}" cache="NativeTimeline_AÑO" caption="AÑO" showSelectionLabel="0" showTimeLevel="0" showHorizontalScrollbar="0" level="0" selectionLevel="0" scrollPosition="2017-01-01T00:00:00" style="TimeSlicerStyleDark3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Relationship Id="rId4" Type="http://schemas.microsoft.com/office/2011/relationships/timeline" Target="../timelines/timeline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5.xml.rels><?xml version="1.0" encoding="UTF-8" standalone="yes"?>
<Relationships xmlns="http://schemas.openxmlformats.org/package/2006/relationships"><Relationship Id="rId8" Type="http://schemas.microsoft.com/office/2011/relationships/timeline" Target="../timelines/timeline2.xml"/><Relationship Id="rId3" Type="http://schemas.openxmlformats.org/officeDocument/2006/relationships/vmlDrawing" Target="../drawings/vmlDrawing1.vml"/><Relationship Id="rId7" Type="http://schemas.microsoft.com/office/2007/relationships/slicer" Target="../slicers/slicer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8314-F3DF-48F7-BD2E-1352A50FB67B}">
  <sheetPr codeName="Hoja1"/>
  <dimension ref="A4:Q73"/>
  <sheetViews>
    <sheetView showGridLines="0" workbookViewId="0">
      <selection activeCell="F18" sqref="F18"/>
    </sheetView>
  </sheetViews>
  <sheetFormatPr baseColWidth="10" defaultRowHeight="15" x14ac:dyDescent="0.25"/>
  <cols>
    <col min="1" max="1" width="11.42578125" style="15"/>
    <col min="2" max="2" width="2.7109375" style="15" customWidth="1"/>
    <col min="3" max="3" width="27.28515625" style="15" customWidth="1"/>
    <col min="4" max="4" width="5.28515625" style="15" customWidth="1"/>
    <col min="5" max="5" width="6.7109375" style="15" customWidth="1"/>
    <col min="6" max="6" width="7.42578125" style="15" customWidth="1"/>
    <col min="7" max="8" width="11.42578125" style="15"/>
    <col min="9" max="9" width="7.5703125" style="15" customWidth="1"/>
    <col min="10" max="14" width="11.42578125" style="15"/>
    <col min="15" max="15" width="15.28515625" style="15" customWidth="1"/>
    <col min="16" max="16" width="2.7109375" style="15" customWidth="1"/>
    <col min="17" max="16384" width="11.42578125" style="15"/>
  </cols>
  <sheetData>
    <row r="4" spans="2:16" ht="16.5" x14ac:dyDescent="0.3">
      <c r="C4" s="65" t="s">
        <v>1416</v>
      </c>
    </row>
    <row r="6" spans="2:16" ht="12" customHeight="1" x14ac:dyDescent="0.25">
      <c r="B6" s="55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7"/>
    </row>
    <row r="7" spans="2:16" ht="16.5" x14ac:dyDescent="0.3">
      <c r="B7" s="58"/>
      <c r="C7" s="45" t="s">
        <v>1436</v>
      </c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60"/>
    </row>
    <row r="8" spans="2:16" ht="16.5" x14ac:dyDescent="0.3">
      <c r="B8" s="58"/>
      <c r="C8" s="45" t="s">
        <v>1410</v>
      </c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60"/>
    </row>
    <row r="9" spans="2:16" ht="16.5" x14ac:dyDescent="0.3">
      <c r="B9" s="58"/>
      <c r="C9" s="45" t="s">
        <v>1409</v>
      </c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60"/>
    </row>
    <row r="10" spans="2:16" ht="12" customHeight="1" x14ac:dyDescent="0.25">
      <c r="B10" s="61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3"/>
    </row>
    <row r="14" spans="2:16" ht="16.5" x14ac:dyDescent="0.3">
      <c r="C14" s="64" t="s">
        <v>1411</v>
      </c>
    </row>
    <row r="16" spans="2:16" ht="12" customHeight="1" x14ac:dyDescent="0.25">
      <c r="B16" s="48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50"/>
    </row>
    <row r="17" spans="2:16" ht="16.5" x14ac:dyDescent="0.3">
      <c r="B17" s="51"/>
      <c r="C17" s="66" t="s">
        <v>1423</v>
      </c>
      <c r="D17" s="67"/>
      <c r="E17" s="67"/>
      <c r="F17" s="67"/>
      <c r="G17" s="67"/>
      <c r="H17" s="46"/>
      <c r="I17" s="46"/>
      <c r="J17" s="46"/>
      <c r="K17" s="46"/>
      <c r="L17" s="46"/>
      <c r="M17" s="46"/>
      <c r="N17" s="46"/>
      <c r="O17" s="46"/>
      <c r="P17" s="52"/>
    </row>
    <row r="18" spans="2:16" ht="16.5" x14ac:dyDescent="0.3">
      <c r="B18" s="51"/>
      <c r="C18" s="68" t="s">
        <v>1426</v>
      </c>
      <c r="D18" s="67"/>
      <c r="E18" s="67"/>
      <c r="F18" s="67"/>
      <c r="G18" s="67"/>
      <c r="H18" s="46"/>
      <c r="I18" s="46"/>
      <c r="J18" s="46"/>
      <c r="K18" s="46"/>
      <c r="L18" s="46"/>
      <c r="M18" s="46"/>
      <c r="N18" s="46"/>
      <c r="O18" s="46"/>
      <c r="P18" s="52"/>
    </row>
    <row r="19" spans="2:16" ht="16.5" x14ac:dyDescent="0.3">
      <c r="B19" s="51"/>
      <c r="C19" s="67"/>
      <c r="D19" s="67"/>
      <c r="E19" s="67"/>
      <c r="F19" s="67"/>
      <c r="G19" s="67"/>
      <c r="H19" s="46"/>
      <c r="I19" s="46"/>
      <c r="J19" s="46"/>
      <c r="K19" s="46"/>
      <c r="L19" s="46"/>
      <c r="M19" s="46"/>
      <c r="N19" s="46"/>
      <c r="O19" s="46"/>
      <c r="P19" s="52"/>
    </row>
    <row r="20" spans="2:16" ht="16.5" x14ac:dyDescent="0.3">
      <c r="B20" s="51"/>
      <c r="C20" s="67" t="s">
        <v>1412</v>
      </c>
      <c r="D20" s="67"/>
      <c r="E20" s="67"/>
      <c r="F20" s="67"/>
      <c r="G20" s="67"/>
      <c r="H20" s="46"/>
      <c r="I20" s="46"/>
      <c r="J20" s="46"/>
      <c r="K20" s="46"/>
      <c r="L20" s="46"/>
      <c r="M20" s="46"/>
      <c r="N20" s="46"/>
      <c r="O20" s="46"/>
      <c r="P20" s="52"/>
    </row>
    <row r="21" spans="2:16" ht="16.5" x14ac:dyDescent="0.3">
      <c r="B21" s="51"/>
      <c r="C21" s="68" t="s">
        <v>1413</v>
      </c>
      <c r="D21" s="67"/>
      <c r="E21" s="67"/>
      <c r="F21" s="67"/>
      <c r="G21" s="67"/>
      <c r="H21" s="46"/>
      <c r="I21" s="46"/>
      <c r="J21" s="46"/>
      <c r="K21" s="46"/>
      <c r="L21" s="46"/>
      <c r="M21" s="46"/>
      <c r="N21" s="46"/>
      <c r="O21" s="46"/>
      <c r="P21" s="52"/>
    </row>
    <row r="22" spans="2:16" ht="16.5" x14ac:dyDescent="0.3">
      <c r="B22" s="51"/>
      <c r="C22" s="67"/>
      <c r="D22" s="68" t="s">
        <v>1427</v>
      </c>
      <c r="E22" s="67"/>
      <c r="F22" s="67"/>
      <c r="G22" s="67"/>
      <c r="H22" s="46"/>
      <c r="I22" s="46"/>
      <c r="J22" s="46"/>
      <c r="K22" s="46"/>
      <c r="L22" s="46"/>
      <c r="M22" s="46"/>
      <c r="N22" s="46"/>
      <c r="O22" s="46"/>
      <c r="P22" s="52"/>
    </row>
    <row r="23" spans="2:16" ht="16.5" x14ac:dyDescent="0.3">
      <c r="B23" s="51"/>
      <c r="C23" s="67"/>
      <c r="D23" s="68" t="s">
        <v>1428</v>
      </c>
      <c r="E23" s="67"/>
      <c r="F23" s="67"/>
      <c r="G23" s="67"/>
      <c r="H23" s="46"/>
      <c r="I23" s="46"/>
      <c r="J23" s="46"/>
      <c r="K23" s="46"/>
      <c r="L23" s="46"/>
      <c r="M23" s="46"/>
      <c r="N23" s="46"/>
      <c r="O23" s="46"/>
      <c r="P23" s="52"/>
    </row>
    <row r="24" spans="2:16" ht="16.5" x14ac:dyDescent="0.3">
      <c r="B24" s="51"/>
      <c r="C24" s="67"/>
      <c r="D24" s="68"/>
      <c r="E24" s="67"/>
      <c r="F24" s="67"/>
      <c r="G24" s="67"/>
      <c r="H24" s="46"/>
      <c r="I24" s="46"/>
      <c r="J24" s="46"/>
      <c r="K24" s="46"/>
      <c r="L24" s="46"/>
      <c r="M24" s="46"/>
      <c r="N24" s="46"/>
      <c r="O24" s="46"/>
      <c r="P24" s="52"/>
    </row>
    <row r="25" spans="2:16" ht="16.5" x14ac:dyDescent="0.3">
      <c r="B25" s="51"/>
      <c r="C25" s="67" t="s">
        <v>1414</v>
      </c>
      <c r="D25" s="67"/>
      <c r="E25" s="67"/>
      <c r="F25" s="67"/>
      <c r="G25" s="67"/>
      <c r="H25" s="46"/>
      <c r="I25" s="46"/>
      <c r="J25" s="46"/>
      <c r="K25" s="46"/>
      <c r="L25" s="46"/>
      <c r="M25" s="46"/>
      <c r="N25" s="46"/>
      <c r="O25" s="46"/>
      <c r="P25" s="52"/>
    </row>
    <row r="26" spans="2:16" ht="16.5" x14ac:dyDescent="0.3">
      <c r="B26" s="51"/>
      <c r="C26" s="68" t="s">
        <v>1415</v>
      </c>
      <c r="D26" s="67"/>
      <c r="E26" s="67"/>
      <c r="F26" s="67"/>
      <c r="G26" s="67"/>
      <c r="H26" s="46"/>
      <c r="I26" s="46"/>
      <c r="J26" s="46"/>
      <c r="K26" s="46"/>
      <c r="L26" s="46"/>
      <c r="M26" s="46"/>
      <c r="N26" s="46"/>
      <c r="O26" s="46"/>
      <c r="P26" s="52"/>
    </row>
    <row r="27" spans="2:16" ht="16.5" x14ac:dyDescent="0.3">
      <c r="B27" s="51"/>
      <c r="C27" s="67"/>
      <c r="D27" s="68" t="s">
        <v>1431</v>
      </c>
      <c r="E27" s="67"/>
      <c r="F27" s="67"/>
      <c r="G27" s="67"/>
      <c r="H27" s="46"/>
      <c r="I27" s="46"/>
      <c r="J27" s="46"/>
      <c r="K27" s="46"/>
      <c r="L27" s="46"/>
      <c r="M27" s="46"/>
      <c r="N27" s="46"/>
      <c r="O27" s="46"/>
      <c r="P27" s="52"/>
    </row>
    <row r="28" spans="2:16" ht="16.5" x14ac:dyDescent="0.3">
      <c r="B28" s="51"/>
      <c r="C28" s="67"/>
      <c r="D28" s="68" t="s">
        <v>1430</v>
      </c>
      <c r="E28" s="67"/>
      <c r="F28" s="67"/>
      <c r="G28" s="67"/>
      <c r="H28" s="46"/>
      <c r="I28" s="46"/>
      <c r="J28" s="46"/>
      <c r="K28" s="46"/>
      <c r="L28" s="46"/>
      <c r="M28" s="46"/>
      <c r="N28" s="46"/>
      <c r="O28" s="46"/>
      <c r="P28" s="52"/>
    </row>
    <row r="29" spans="2:16" ht="16.5" x14ac:dyDescent="0.3">
      <c r="B29" s="51"/>
      <c r="C29" s="67"/>
      <c r="D29" s="68" t="s">
        <v>1432</v>
      </c>
      <c r="E29" s="67"/>
      <c r="F29" s="67"/>
      <c r="G29" s="67"/>
      <c r="H29" s="46"/>
      <c r="I29" s="46"/>
      <c r="J29" s="46"/>
      <c r="K29" s="46"/>
      <c r="L29" s="46"/>
      <c r="M29" s="46"/>
      <c r="N29" s="46"/>
      <c r="O29" s="46"/>
      <c r="P29" s="52"/>
    </row>
    <row r="30" spans="2:16" ht="16.5" x14ac:dyDescent="0.3">
      <c r="B30" s="51"/>
      <c r="C30" s="67"/>
      <c r="D30" s="67"/>
      <c r="E30" s="67"/>
      <c r="F30" s="67"/>
      <c r="G30" s="67"/>
      <c r="H30" s="46"/>
      <c r="I30" s="46"/>
      <c r="J30" s="46"/>
      <c r="K30" s="46"/>
      <c r="L30" s="46"/>
      <c r="M30" s="46"/>
      <c r="N30" s="46"/>
      <c r="O30" s="46"/>
      <c r="P30" s="52"/>
    </row>
    <row r="31" spans="2:16" ht="16.5" x14ac:dyDescent="0.3">
      <c r="B31" s="51"/>
      <c r="C31" s="67" t="s">
        <v>1435</v>
      </c>
      <c r="D31" s="67"/>
      <c r="E31" s="67"/>
      <c r="F31" s="67"/>
      <c r="G31" s="67"/>
      <c r="H31" s="46"/>
      <c r="I31" s="46"/>
      <c r="J31" s="46"/>
      <c r="K31" s="46"/>
      <c r="L31" s="46"/>
      <c r="M31" s="46"/>
      <c r="N31" s="46"/>
      <c r="O31" s="46"/>
      <c r="P31" s="52"/>
    </row>
    <row r="32" spans="2:16" ht="16.5" x14ac:dyDescent="0.3">
      <c r="B32" s="51"/>
      <c r="C32" s="68" t="s">
        <v>1437</v>
      </c>
      <c r="D32" s="67"/>
      <c r="E32" s="67"/>
      <c r="F32" s="67"/>
      <c r="G32" s="67"/>
      <c r="H32" s="46"/>
      <c r="I32" s="46"/>
      <c r="J32" s="46"/>
      <c r="K32" s="46"/>
      <c r="L32" s="46"/>
      <c r="M32" s="46"/>
      <c r="N32" s="46"/>
      <c r="O32" s="46"/>
      <c r="P32" s="52"/>
    </row>
    <row r="33" spans="2:16" ht="12" customHeight="1" x14ac:dyDescent="0.3">
      <c r="B33" s="53"/>
      <c r="C33" s="69"/>
      <c r="D33" s="70"/>
      <c r="E33" s="70"/>
      <c r="F33" s="70"/>
      <c r="G33" s="70"/>
      <c r="H33" s="47"/>
      <c r="I33" s="47"/>
      <c r="J33" s="47"/>
      <c r="K33" s="47"/>
      <c r="L33" s="47"/>
      <c r="M33" s="47"/>
      <c r="N33" s="47"/>
      <c r="O33" s="47"/>
      <c r="P33" s="54"/>
    </row>
    <row r="34" spans="2:16" x14ac:dyDescent="0.25">
      <c r="C34" s="44"/>
      <c r="D34" s="44"/>
      <c r="E34" s="44"/>
      <c r="F34" s="44"/>
      <c r="G34" s="44"/>
    </row>
    <row r="37" spans="2:16" ht="23.25" x14ac:dyDescent="0.3">
      <c r="B37" s="71"/>
      <c r="C37" s="65" t="s">
        <v>1417</v>
      </c>
    </row>
    <row r="38" spans="2:16" ht="15" customHeight="1" x14ac:dyDescent="0.3">
      <c r="B38" s="71"/>
      <c r="C38" s="65"/>
    </row>
    <row r="39" spans="2:16" x14ac:dyDescent="0.25">
      <c r="B39" s="48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50"/>
    </row>
    <row r="40" spans="2:16" ht="16.5" x14ac:dyDescent="0.3">
      <c r="B40" s="51"/>
      <c r="C40" s="74" t="s">
        <v>1438</v>
      </c>
      <c r="D40" s="67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52"/>
    </row>
    <row r="41" spans="2:16" x14ac:dyDescent="0.25">
      <c r="B41" s="51"/>
      <c r="C41" s="68" t="s">
        <v>1439</v>
      </c>
      <c r="D41" s="68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52"/>
    </row>
    <row r="42" spans="2:16" ht="16.5" x14ac:dyDescent="0.3">
      <c r="B42" s="51"/>
      <c r="C42" s="67"/>
      <c r="D42" s="67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52"/>
    </row>
    <row r="43" spans="2:16" ht="16.5" x14ac:dyDescent="0.3">
      <c r="B43" s="51"/>
      <c r="C43" s="67" t="s">
        <v>1418</v>
      </c>
      <c r="D43" s="67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52"/>
    </row>
    <row r="44" spans="2:16" ht="16.5" x14ac:dyDescent="0.3">
      <c r="B44" s="51"/>
      <c r="C44" s="68" t="s">
        <v>1440</v>
      </c>
      <c r="D44" s="67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52"/>
    </row>
    <row r="45" spans="2:16" ht="16.5" x14ac:dyDescent="0.3">
      <c r="B45" s="51"/>
      <c r="C45" s="67"/>
      <c r="D45" s="67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52"/>
    </row>
    <row r="46" spans="2:16" ht="16.5" x14ac:dyDescent="0.3">
      <c r="B46" s="51"/>
      <c r="C46" s="67" t="s">
        <v>1441</v>
      </c>
      <c r="D46" s="67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52"/>
    </row>
    <row r="47" spans="2:16" ht="16.5" x14ac:dyDescent="0.3">
      <c r="B47" s="51"/>
      <c r="C47" s="68" t="s">
        <v>1442</v>
      </c>
      <c r="D47" s="67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52"/>
    </row>
    <row r="48" spans="2:16" ht="12" customHeight="1" x14ac:dyDescent="0.25">
      <c r="B48" s="53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54"/>
    </row>
    <row r="52" spans="1:17" ht="16.5" x14ac:dyDescent="0.3">
      <c r="C52" s="65" t="s">
        <v>1420</v>
      </c>
    </row>
    <row r="54" spans="1:17" ht="12" customHeight="1" x14ac:dyDescent="0.25">
      <c r="B54" s="48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50"/>
    </row>
    <row r="55" spans="1:17" ht="16.5" x14ac:dyDescent="0.3">
      <c r="B55" s="51"/>
      <c r="C55" s="67" t="s">
        <v>1421</v>
      </c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52"/>
    </row>
    <row r="56" spans="1:17" x14ac:dyDescent="0.25">
      <c r="B56" s="51"/>
      <c r="C56" s="68" t="s">
        <v>1419</v>
      </c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52"/>
    </row>
    <row r="57" spans="1:17" ht="16.5" x14ac:dyDescent="0.3">
      <c r="B57" s="51"/>
      <c r="C57" s="67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52"/>
    </row>
    <row r="58" spans="1:17" ht="16.5" x14ac:dyDescent="0.3">
      <c r="B58" s="51"/>
      <c r="C58" s="67" t="s">
        <v>1443</v>
      </c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52"/>
    </row>
    <row r="59" spans="1:17" x14ac:dyDescent="0.25">
      <c r="B59" s="51"/>
      <c r="C59" s="68" t="s">
        <v>1444</v>
      </c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52"/>
    </row>
    <row r="60" spans="1:17" ht="16.5" x14ac:dyDescent="0.3">
      <c r="B60" s="51"/>
      <c r="C60" s="67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52"/>
    </row>
    <row r="61" spans="1:17" ht="16.5" x14ac:dyDescent="0.3">
      <c r="B61" s="51"/>
      <c r="C61" s="67" t="s">
        <v>1445</v>
      </c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52"/>
    </row>
    <row r="62" spans="1:17" x14ac:dyDescent="0.25">
      <c r="B62" s="51"/>
      <c r="C62" s="68" t="s">
        <v>1446</v>
      </c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52"/>
    </row>
    <row r="63" spans="1:17" ht="12" customHeight="1" x14ac:dyDescent="0.25">
      <c r="B63" s="53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54"/>
    </row>
    <row r="64" spans="1:17" ht="16.5" x14ac:dyDescent="0.3">
      <c r="A64" s="46"/>
      <c r="B64" s="46"/>
      <c r="C64" s="67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</row>
    <row r="68" spans="2:16" ht="16.5" x14ac:dyDescent="0.3">
      <c r="C68" s="65" t="s">
        <v>1422</v>
      </c>
    </row>
    <row r="69" spans="2:16" ht="16.5" x14ac:dyDescent="0.3">
      <c r="C69" s="65"/>
    </row>
    <row r="70" spans="2:16" ht="12" customHeight="1" x14ac:dyDescent="0.25">
      <c r="B70" s="48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50"/>
    </row>
    <row r="71" spans="2:16" x14ac:dyDescent="0.25">
      <c r="B71" s="51"/>
      <c r="C71" s="72" t="s">
        <v>1448</v>
      </c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52"/>
    </row>
    <row r="72" spans="2:16" x14ac:dyDescent="0.25">
      <c r="B72" s="51"/>
      <c r="C72" s="72" t="s">
        <v>1447</v>
      </c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52"/>
    </row>
    <row r="73" spans="2:16" ht="12" customHeight="1" x14ac:dyDescent="0.25">
      <c r="B73" s="53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5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1CB52-7442-4827-81C1-7447097DF6EA}">
  <sheetPr codeName="Hoja2"/>
  <dimension ref="A1:A1001"/>
  <sheetViews>
    <sheetView topLeftCell="A16" workbookViewId="0">
      <selection activeCell="P5" sqref="P5"/>
    </sheetView>
  </sheetViews>
  <sheetFormatPr baseColWidth="10" defaultRowHeight="15" x14ac:dyDescent="0.25"/>
  <cols>
    <col min="1" max="1" width="11" style="6" customWidth="1"/>
  </cols>
  <sheetData>
    <row r="1" spans="1:1" x14ac:dyDescent="0.25">
      <c r="A1" s="4" t="s">
        <v>329</v>
      </c>
    </row>
    <row r="2" spans="1:1" x14ac:dyDescent="0.25">
      <c r="A2" s="4" t="s">
        <v>330</v>
      </c>
    </row>
    <row r="3" spans="1:1" x14ac:dyDescent="0.25">
      <c r="A3" s="4" t="s">
        <v>331</v>
      </c>
    </row>
    <row r="4" spans="1:1" x14ac:dyDescent="0.25">
      <c r="A4" s="4" t="s">
        <v>332</v>
      </c>
    </row>
    <row r="5" spans="1:1" x14ac:dyDescent="0.25">
      <c r="A5" s="4" t="s">
        <v>333</v>
      </c>
    </row>
    <row r="6" spans="1:1" x14ac:dyDescent="0.25">
      <c r="A6" s="4" t="s">
        <v>334</v>
      </c>
    </row>
    <row r="7" spans="1:1" x14ac:dyDescent="0.25">
      <c r="A7" s="4" t="s">
        <v>335</v>
      </c>
    </row>
    <row r="8" spans="1:1" x14ac:dyDescent="0.25">
      <c r="A8" s="4" t="s">
        <v>336</v>
      </c>
    </row>
    <row r="9" spans="1:1" x14ac:dyDescent="0.25">
      <c r="A9" s="4" t="s">
        <v>337</v>
      </c>
    </row>
    <row r="10" spans="1:1" x14ac:dyDescent="0.25">
      <c r="A10" s="4" t="s">
        <v>338</v>
      </c>
    </row>
    <row r="11" spans="1:1" x14ac:dyDescent="0.25">
      <c r="A11" s="4" t="s">
        <v>339</v>
      </c>
    </row>
    <row r="12" spans="1:1" x14ac:dyDescent="0.25">
      <c r="A12" s="4" t="s">
        <v>340</v>
      </c>
    </row>
    <row r="13" spans="1:1" x14ac:dyDescent="0.25">
      <c r="A13" s="4" t="s">
        <v>341</v>
      </c>
    </row>
    <row r="14" spans="1:1" x14ac:dyDescent="0.25">
      <c r="A14" s="4" t="s">
        <v>342</v>
      </c>
    </row>
    <row r="15" spans="1:1" x14ac:dyDescent="0.25">
      <c r="A15" s="4" t="s">
        <v>343</v>
      </c>
    </row>
    <row r="16" spans="1:1" x14ac:dyDescent="0.25">
      <c r="A16" s="4" t="s">
        <v>344</v>
      </c>
    </row>
    <row r="17" spans="1:1" x14ac:dyDescent="0.25">
      <c r="A17" s="4" t="s">
        <v>345</v>
      </c>
    </row>
    <row r="18" spans="1:1" x14ac:dyDescent="0.25">
      <c r="A18" s="4" t="s">
        <v>346</v>
      </c>
    </row>
    <row r="19" spans="1:1" x14ac:dyDescent="0.25">
      <c r="A19" s="4" t="s">
        <v>347</v>
      </c>
    </row>
    <row r="20" spans="1:1" x14ac:dyDescent="0.25">
      <c r="A20" s="4" t="s">
        <v>348</v>
      </c>
    </row>
    <row r="21" spans="1:1" x14ac:dyDescent="0.25">
      <c r="A21" s="4" t="s">
        <v>349</v>
      </c>
    </row>
    <row r="22" spans="1:1" x14ac:dyDescent="0.25">
      <c r="A22" s="4" t="s">
        <v>350</v>
      </c>
    </row>
    <row r="23" spans="1:1" x14ac:dyDescent="0.25">
      <c r="A23" s="4" t="s">
        <v>351</v>
      </c>
    </row>
    <row r="24" spans="1:1" x14ac:dyDescent="0.25">
      <c r="A24" s="4" t="s">
        <v>352</v>
      </c>
    </row>
    <row r="25" spans="1:1" x14ac:dyDescent="0.25">
      <c r="A25" s="4" t="s">
        <v>353</v>
      </c>
    </row>
    <row r="26" spans="1:1" x14ac:dyDescent="0.25">
      <c r="A26" s="4" t="s">
        <v>354</v>
      </c>
    </row>
    <row r="27" spans="1:1" x14ac:dyDescent="0.25">
      <c r="A27" s="4" t="s">
        <v>355</v>
      </c>
    </row>
    <row r="28" spans="1:1" x14ac:dyDescent="0.25">
      <c r="A28" s="4" t="s">
        <v>356</v>
      </c>
    </row>
    <row r="29" spans="1:1" x14ac:dyDescent="0.25">
      <c r="A29" s="4" t="s">
        <v>357</v>
      </c>
    </row>
    <row r="30" spans="1:1" x14ac:dyDescent="0.25">
      <c r="A30" s="4" t="s">
        <v>358</v>
      </c>
    </row>
    <row r="31" spans="1:1" x14ac:dyDescent="0.25">
      <c r="A31" s="4" t="s">
        <v>359</v>
      </c>
    </row>
    <row r="32" spans="1:1" x14ac:dyDescent="0.25">
      <c r="A32" s="4" t="s">
        <v>360</v>
      </c>
    </row>
    <row r="33" spans="1:1" x14ac:dyDescent="0.25">
      <c r="A33" s="4" t="s">
        <v>361</v>
      </c>
    </row>
    <row r="34" spans="1:1" x14ac:dyDescent="0.25">
      <c r="A34" s="4" t="s">
        <v>362</v>
      </c>
    </row>
    <row r="35" spans="1:1" x14ac:dyDescent="0.25">
      <c r="A35" s="4" t="s">
        <v>363</v>
      </c>
    </row>
    <row r="36" spans="1:1" x14ac:dyDescent="0.25">
      <c r="A36" s="4" t="s">
        <v>364</v>
      </c>
    </row>
    <row r="37" spans="1:1" x14ac:dyDescent="0.25">
      <c r="A37" s="4" t="s">
        <v>365</v>
      </c>
    </row>
    <row r="38" spans="1:1" x14ac:dyDescent="0.25">
      <c r="A38" s="4" t="s">
        <v>366</v>
      </c>
    </row>
    <row r="39" spans="1:1" x14ac:dyDescent="0.25">
      <c r="A39" s="4" t="s">
        <v>367</v>
      </c>
    </row>
    <row r="40" spans="1:1" x14ac:dyDescent="0.25">
      <c r="A40" s="4" t="s">
        <v>368</v>
      </c>
    </row>
    <row r="41" spans="1:1" x14ac:dyDescent="0.25">
      <c r="A41" s="4" t="s">
        <v>369</v>
      </c>
    </row>
    <row r="42" spans="1:1" x14ac:dyDescent="0.25">
      <c r="A42" s="4" t="s">
        <v>370</v>
      </c>
    </row>
    <row r="43" spans="1:1" x14ac:dyDescent="0.25">
      <c r="A43" s="4" t="s">
        <v>371</v>
      </c>
    </row>
    <row r="44" spans="1:1" x14ac:dyDescent="0.25">
      <c r="A44" s="4" t="s">
        <v>372</v>
      </c>
    </row>
    <row r="45" spans="1:1" x14ac:dyDescent="0.25">
      <c r="A45" s="4" t="s">
        <v>373</v>
      </c>
    </row>
    <row r="46" spans="1:1" x14ac:dyDescent="0.25">
      <c r="A46" s="4" t="s">
        <v>374</v>
      </c>
    </row>
    <row r="47" spans="1:1" x14ac:dyDescent="0.25">
      <c r="A47" s="4" t="s">
        <v>375</v>
      </c>
    </row>
    <row r="48" spans="1:1" x14ac:dyDescent="0.25">
      <c r="A48" s="4" t="s">
        <v>376</v>
      </c>
    </row>
    <row r="49" spans="1:1" x14ac:dyDescent="0.25">
      <c r="A49" s="4" t="s">
        <v>377</v>
      </c>
    </row>
    <row r="50" spans="1:1" x14ac:dyDescent="0.25">
      <c r="A50" s="4" t="s">
        <v>378</v>
      </c>
    </row>
    <row r="51" spans="1:1" x14ac:dyDescent="0.25">
      <c r="A51" s="4" t="s">
        <v>379</v>
      </c>
    </row>
    <row r="52" spans="1:1" x14ac:dyDescent="0.25">
      <c r="A52" s="4" t="s">
        <v>380</v>
      </c>
    </row>
    <row r="53" spans="1:1" x14ac:dyDescent="0.25">
      <c r="A53" s="4" t="s">
        <v>381</v>
      </c>
    </row>
    <row r="54" spans="1:1" x14ac:dyDescent="0.25">
      <c r="A54" s="4" t="s">
        <v>382</v>
      </c>
    </row>
    <row r="55" spans="1:1" x14ac:dyDescent="0.25">
      <c r="A55" s="4" t="s">
        <v>383</v>
      </c>
    </row>
    <row r="56" spans="1:1" x14ac:dyDescent="0.25">
      <c r="A56" s="4" t="s">
        <v>384</v>
      </c>
    </row>
    <row r="57" spans="1:1" x14ac:dyDescent="0.25">
      <c r="A57" s="4" t="s">
        <v>385</v>
      </c>
    </row>
    <row r="58" spans="1:1" x14ac:dyDescent="0.25">
      <c r="A58" s="4" t="s">
        <v>386</v>
      </c>
    </row>
    <row r="59" spans="1:1" x14ac:dyDescent="0.25">
      <c r="A59" s="4" t="s">
        <v>387</v>
      </c>
    </row>
    <row r="60" spans="1:1" x14ac:dyDescent="0.25">
      <c r="A60" s="4" t="s">
        <v>388</v>
      </c>
    </row>
    <row r="61" spans="1:1" x14ac:dyDescent="0.25">
      <c r="A61" s="4" t="s">
        <v>389</v>
      </c>
    </row>
    <row r="62" spans="1:1" x14ac:dyDescent="0.25">
      <c r="A62" s="4" t="s">
        <v>390</v>
      </c>
    </row>
    <row r="63" spans="1:1" x14ac:dyDescent="0.25">
      <c r="A63" s="4" t="s">
        <v>391</v>
      </c>
    </row>
    <row r="64" spans="1:1" x14ac:dyDescent="0.25">
      <c r="A64" s="4" t="s">
        <v>392</v>
      </c>
    </row>
    <row r="65" spans="1:1" x14ac:dyDescent="0.25">
      <c r="A65" s="4" t="s">
        <v>393</v>
      </c>
    </row>
    <row r="66" spans="1:1" x14ac:dyDescent="0.25">
      <c r="A66" s="4" t="s">
        <v>394</v>
      </c>
    </row>
    <row r="67" spans="1:1" x14ac:dyDescent="0.25">
      <c r="A67" s="4" t="s">
        <v>395</v>
      </c>
    </row>
    <row r="68" spans="1:1" x14ac:dyDescent="0.25">
      <c r="A68" s="4" t="s">
        <v>396</v>
      </c>
    </row>
    <row r="69" spans="1:1" x14ac:dyDescent="0.25">
      <c r="A69" s="4" t="s">
        <v>397</v>
      </c>
    </row>
    <row r="70" spans="1:1" x14ac:dyDescent="0.25">
      <c r="A70" s="4" t="s">
        <v>398</v>
      </c>
    </row>
    <row r="71" spans="1:1" x14ac:dyDescent="0.25">
      <c r="A71" s="4" t="s">
        <v>399</v>
      </c>
    </row>
    <row r="72" spans="1:1" x14ac:dyDescent="0.25">
      <c r="A72" s="4" t="s">
        <v>400</v>
      </c>
    </row>
    <row r="73" spans="1:1" x14ac:dyDescent="0.25">
      <c r="A73" s="4" t="s">
        <v>401</v>
      </c>
    </row>
    <row r="74" spans="1:1" x14ac:dyDescent="0.25">
      <c r="A74" s="4" t="s">
        <v>402</v>
      </c>
    </row>
    <row r="75" spans="1:1" x14ac:dyDescent="0.25">
      <c r="A75" s="4" t="s">
        <v>403</v>
      </c>
    </row>
    <row r="76" spans="1:1" x14ac:dyDescent="0.25">
      <c r="A76" s="4" t="s">
        <v>404</v>
      </c>
    </row>
    <row r="77" spans="1:1" x14ac:dyDescent="0.25">
      <c r="A77" s="4" t="s">
        <v>405</v>
      </c>
    </row>
    <row r="78" spans="1:1" x14ac:dyDescent="0.25">
      <c r="A78" s="4" t="s">
        <v>406</v>
      </c>
    </row>
    <row r="79" spans="1:1" x14ac:dyDescent="0.25">
      <c r="A79" s="4" t="s">
        <v>407</v>
      </c>
    </row>
    <row r="80" spans="1:1" x14ac:dyDescent="0.25">
      <c r="A80" s="4" t="s">
        <v>408</v>
      </c>
    </row>
    <row r="81" spans="1:1" x14ac:dyDescent="0.25">
      <c r="A81" s="4" t="s">
        <v>409</v>
      </c>
    </row>
    <row r="82" spans="1:1" x14ac:dyDescent="0.25">
      <c r="A82" s="4" t="s">
        <v>410</v>
      </c>
    </row>
    <row r="83" spans="1:1" x14ac:dyDescent="0.25">
      <c r="A83" s="4" t="s">
        <v>411</v>
      </c>
    </row>
    <row r="84" spans="1:1" x14ac:dyDescent="0.25">
      <c r="A84" s="4" t="s">
        <v>412</v>
      </c>
    </row>
    <row r="85" spans="1:1" x14ac:dyDescent="0.25">
      <c r="A85" s="4" t="s">
        <v>413</v>
      </c>
    </row>
    <row r="86" spans="1:1" x14ac:dyDescent="0.25">
      <c r="A86" s="4" t="s">
        <v>414</v>
      </c>
    </row>
    <row r="87" spans="1:1" x14ac:dyDescent="0.25">
      <c r="A87" s="4" t="s">
        <v>415</v>
      </c>
    </row>
    <row r="88" spans="1:1" x14ac:dyDescent="0.25">
      <c r="A88" s="4" t="s">
        <v>416</v>
      </c>
    </row>
    <row r="89" spans="1:1" x14ac:dyDescent="0.25">
      <c r="A89" s="4" t="s">
        <v>417</v>
      </c>
    </row>
    <row r="90" spans="1:1" x14ac:dyDescent="0.25">
      <c r="A90" s="4" t="s">
        <v>418</v>
      </c>
    </row>
    <row r="91" spans="1:1" x14ac:dyDescent="0.25">
      <c r="A91" s="4" t="s">
        <v>419</v>
      </c>
    </row>
    <row r="92" spans="1:1" x14ac:dyDescent="0.25">
      <c r="A92" s="4" t="s">
        <v>420</v>
      </c>
    </row>
    <row r="93" spans="1:1" x14ac:dyDescent="0.25">
      <c r="A93" s="4" t="s">
        <v>421</v>
      </c>
    </row>
    <row r="94" spans="1:1" x14ac:dyDescent="0.25">
      <c r="A94" s="4" t="s">
        <v>422</v>
      </c>
    </row>
    <row r="95" spans="1:1" x14ac:dyDescent="0.25">
      <c r="A95" s="4" t="s">
        <v>423</v>
      </c>
    </row>
    <row r="96" spans="1:1" x14ac:dyDescent="0.25">
      <c r="A96" s="4" t="s">
        <v>424</v>
      </c>
    </row>
    <row r="97" spans="1:1" x14ac:dyDescent="0.25">
      <c r="A97" s="4" t="s">
        <v>425</v>
      </c>
    </row>
    <row r="98" spans="1:1" x14ac:dyDescent="0.25">
      <c r="A98" s="4" t="s">
        <v>426</v>
      </c>
    </row>
    <row r="99" spans="1:1" x14ac:dyDescent="0.25">
      <c r="A99" s="4" t="s">
        <v>427</v>
      </c>
    </row>
    <row r="100" spans="1:1" x14ac:dyDescent="0.25">
      <c r="A100" s="4" t="s">
        <v>428</v>
      </c>
    </row>
    <row r="101" spans="1:1" x14ac:dyDescent="0.25">
      <c r="A101" s="4" t="s">
        <v>429</v>
      </c>
    </row>
    <row r="102" spans="1:1" x14ac:dyDescent="0.25">
      <c r="A102" s="4" t="s">
        <v>430</v>
      </c>
    </row>
    <row r="103" spans="1:1" x14ac:dyDescent="0.25">
      <c r="A103" s="4" t="s">
        <v>431</v>
      </c>
    </row>
    <row r="104" spans="1:1" x14ac:dyDescent="0.25">
      <c r="A104" s="4" t="s">
        <v>432</v>
      </c>
    </row>
    <row r="105" spans="1:1" x14ac:dyDescent="0.25">
      <c r="A105" s="4" t="s">
        <v>433</v>
      </c>
    </row>
    <row r="106" spans="1:1" x14ac:dyDescent="0.25">
      <c r="A106" s="4" t="s">
        <v>434</v>
      </c>
    </row>
    <row r="107" spans="1:1" x14ac:dyDescent="0.25">
      <c r="A107" s="4" t="s">
        <v>435</v>
      </c>
    </row>
    <row r="108" spans="1:1" x14ac:dyDescent="0.25">
      <c r="A108" s="4" t="s">
        <v>436</v>
      </c>
    </row>
    <row r="109" spans="1:1" x14ac:dyDescent="0.25">
      <c r="A109" s="4" t="s">
        <v>437</v>
      </c>
    </row>
    <row r="110" spans="1:1" x14ac:dyDescent="0.25">
      <c r="A110" s="4" t="s">
        <v>438</v>
      </c>
    </row>
    <row r="111" spans="1:1" x14ac:dyDescent="0.25">
      <c r="A111" s="4" t="s">
        <v>439</v>
      </c>
    </row>
    <row r="112" spans="1:1" x14ac:dyDescent="0.25">
      <c r="A112" s="4" t="s">
        <v>440</v>
      </c>
    </row>
    <row r="113" spans="1:1" x14ac:dyDescent="0.25">
      <c r="A113" s="4" t="s">
        <v>441</v>
      </c>
    </row>
    <row r="114" spans="1:1" x14ac:dyDescent="0.25">
      <c r="A114" s="4" t="s">
        <v>442</v>
      </c>
    </row>
    <row r="115" spans="1:1" x14ac:dyDescent="0.25">
      <c r="A115" s="4" t="s">
        <v>443</v>
      </c>
    </row>
    <row r="116" spans="1:1" x14ac:dyDescent="0.25">
      <c r="A116" s="4" t="s">
        <v>444</v>
      </c>
    </row>
    <row r="117" spans="1:1" x14ac:dyDescent="0.25">
      <c r="A117" s="4" t="s">
        <v>445</v>
      </c>
    </row>
    <row r="118" spans="1:1" x14ac:dyDescent="0.25">
      <c r="A118" s="4" t="s">
        <v>446</v>
      </c>
    </row>
    <row r="119" spans="1:1" x14ac:dyDescent="0.25">
      <c r="A119" s="4" t="s">
        <v>447</v>
      </c>
    </row>
    <row r="120" spans="1:1" x14ac:dyDescent="0.25">
      <c r="A120" s="4" t="s">
        <v>448</v>
      </c>
    </row>
    <row r="121" spans="1:1" x14ac:dyDescent="0.25">
      <c r="A121" s="4" t="s">
        <v>449</v>
      </c>
    </row>
    <row r="122" spans="1:1" x14ac:dyDescent="0.25">
      <c r="A122" s="4" t="s">
        <v>450</v>
      </c>
    </row>
    <row r="123" spans="1:1" x14ac:dyDescent="0.25">
      <c r="A123" s="4" t="s">
        <v>451</v>
      </c>
    </row>
    <row r="124" spans="1:1" x14ac:dyDescent="0.25">
      <c r="A124" s="4" t="s">
        <v>452</v>
      </c>
    </row>
    <row r="125" spans="1:1" x14ac:dyDescent="0.25">
      <c r="A125" s="4" t="s">
        <v>453</v>
      </c>
    </row>
    <row r="126" spans="1:1" x14ac:dyDescent="0.25">
      <c r="A126" s="4" t="s">
        <v>454</v>
      </c>
    </row>
    <row r="127" spans="1:1" x14ac:dyDescent="0.25">
      <c r="A127" s="4" t="s">
        <v>455</v>
      </c>
    </row>
    <row r="128" spans="1:1" x14ac:dyDescent="0.25">
      <c r="A128" s="4" t="s">
        <v>456</v>
      </c>
    </row>
    <row r="129" spans="1:1" x14ac:dyDescent="0.25">
      <c r="A129" s="4" t="s">
        <v>457</v>
      </c>
    </row>
    <row r="130" spans="1:1" x14ac:dyDescent="0.25">
      <c r="A130" s="4" t="s">
        <v>458</v>
      </c>
    </row>
    <row r="131" spans="1:1" x14ac:dyDescent="0.25">
      <c r="A131" s="4" t="s">
        <v>459</v>
      </c>
    </row>
    <row r="132" spans="1:1" x14ac:dyDescent="0.25">
      <c r="A132" s="4" t="s">
        <v>460</v>
      </c>
    </row>
    <row r="133" spans="1:1" x14ac:dyDescent="0.25">
      <c r="A133" s="4" t="s">
        <v>461</v>
      </c>
    </row>
    <row r="134" spans="1:1" x14ac:dyDescent="0.25">
      <c r="A134" s="4" t="s">
        <v>462</v>
      </c>
    </row>
    <row r="135" spans="1:1" x14ac:dyDescent="0.25">
      <c r="A135" s="4" t="s">
        <v>463</v>
      </c>
    </row>
    <row r="136" spans="1:1" x14ac:dyDescent="0.25">
      <c r="A136" s="4" t="s">
        <v>464</v>
      </c>
    </row>
    <row r="137" spans="1:1" x14ac:dyDescent="0.25">
      <c r="A137" s="4" t="s">
        <v>465</v>
      </c>
    </row>
    <row r="138" spans="1:1" x14ac:dyDescent="0.25">
      <c r="A138" s="4" t="s">
        <v>466</v>
      </c>
    </row>
    <row r="139" spans="1:1" x14ac:dyDescent="0.25">
      <c r="A139" s="4" t="s">
        <v>467</v>
      </c>
    </row>
    <row r="140" spans="1:1" x14ac:dyDescent="0.25">
      <c r="A140" s="4" t="s">
        <v>468</v>
      </c>
    </row>
    <row r="141" spans="1:1" x14ac:dyDescent="0.25">
      <c r="A141" s="4" t="s">
        <v>469</v>
      </c>
    </row>
    <row r="142" spans="1:1" x14ac:dyDescent="0.25">
      <c r="A142" s="4" t="s">
        <v>470</v>
      </c>
    </row>
    <row r="143" spans="1:1" x14ac:dyDescent="0.25">
      <c r="A143" s="4" t="s">
        <v>471</v>
      </c>
    </row>
    <row r="144" spans="1:1" x14ac:dyDescent="0.25">
      <c r="A144" s="4" t="s">
        <v>472</v>
      </c>
    </row>
    <row r="145" spans="1:1" x14ac:dyDescent="0.25">
      <c r="A145" s="4" t="s">
        <v>473</v>
      </c>
    </row>
    <row r="146" spans="1:1" x14ac:dyDescent="0.25">
      <c r="A146" s="4" t="s">
        <v>474</v>
      </c>
    </row>
    <row r="147" spans="1:1" x14ac:dyDescent="0.25">
      <c r="A147" s="4" t="s">
        <v>475</v>
      </c>
    </row>
    <row r="148" spans="1:1" x14ac:dyDescent="0.25">
      <c r="A148" s="4" t="s">
        <v>476</v>
      </c>
    </row>
    <row r="149" spans="1:1" x14ac:dyDescent="0.25">
      <c r="A149" s="4" t="s">
        <v>477</v>
      </c>
    </row>
    <row r="150" spans="1:1" x14ac:dyDescent="0.25">
      <c r="A150" s="4" t="s">
        <v>478</v>
      </c>
    </row>
    <row r="151" spans="1:1" x14ac:dyDescent="0.25">
      <c r="A151" s="4" t="s">
        <v>479</v>
      </c>
    </row>
    <row r="152" spans="1:1" x14ac:dyDescent="0.25">
      <c r="A152" s="4" t="s">
        <v>480</v>
      </c>
    </row>
    <row r="153" spans="1:1" x14ac:dyDescent="0.25">
      <c r="A153" s="4" t="s">
        <v>481</v>
      </c>
    </row>
    <row r="154" spans="1:1" x14ac:dyDescent="0.25">
      <c r="A154" s="4" t="s">
        <v>482</v>
      </c>
    </row>
    <row r="155" spans="1:1" x14ac:dyDescent="0.25">
      <c r="A155" s="4" t="s">
        <v>483</v>
      </c>
    </row>
    <row r="156" spans="1:1" x14ac:dyDescent="0.25">
      <c r="A156" s="4" t="s">
        <v>484</v>
      </c>
    </row>
    <row r="157" spans="1:1" x14ac:dyDescent="0.25">
      <c r="A157" s="4" t="s">
        <v>485</v>
      </c>
    </row>
    <row r="158" spans="1:1" x14ac:dyDescent="0.25">
      <c r="A158" s="4" t="s">
        <v>486</v>
      </c>
    </row>
    <row r="159" spans="1:1" x14ac:dyDescent="0.25">
      <c r="A159" s="4" t="s">
        <v>487</v>
      </c>
    </row>
    <row r="160" spans="1:1" x14ac:dyDescent="0.25">
      <c r="A160" s="4" t="s">
        <v>488</v>
      </c>
    </row>
    <row r="161" spans="1:1" x14ac:dyDescent="0.25">
      <c r="A161" s="4" t="s">
        <v>489</v>
      </c>
    </row>
    <row r="162" spans="1:1" x14ac:dyDescent="0.25">
      <c r="A162" s="4" t="s">
        <v>490</v>
      </c>
    </row>
    <row r="163" spans="1:1" x14ac:dyDescent="0.25">
      <c r="A163" s="4" t="s">
        <v>491</v>
      </c>
    </row>
    <row r="164" spans="1:1" x14ac:dyDescent="0.25">
      <c r="A164" s="4" t="s">
        <v>492</v>
      </c>
    </row>
    <row r="165" spans="1:1" x14ac:dyDescent="0.25">
      <c r="A165" s="4" t="s">
        <v>493</v>
      </c>
    </row>
    <row r="166" spans="1:1" x14ac:dyDescent="0.25">
      <c r="A166" s="4" t="s">
        <v>494</v>
      </c>
    </row>
    <row r="167" spans="1:1" x14ac:dyDescent="0.25">
      <c r="A167" s="4" t="s">
        <v>495</v>
      </c>
    </row>
    <row r="168" spans="1:1" x14ac:dyDescent="0.25">
      <c r="A168" s="4" t="s">
        <v>496</v>
      </c>
    </row>
    <row r="169" spans="1:1" x14ac:dyDescent="0.25">
      <c r="A169" s="4" t="s">
        <v>497</v>
      </c>
    </row>
    <row r="170" spans="1:1" x14ac:dyDescent="0.25">
      <c r="A170" s="4" t="s">
        <v>498</v>
      </c>
    </row>
    <row r="171" spans="1:1" x14ac:dyDescent="0.25">
      <c r="A171" s="4" t="s">
        <v>499</v>
      </c>
    </row>
    <row r="172" spans="1:1" x14ac:dyDescent="0.25">
      <c r="A172" s="4" t="s">
        <v>500</v>
      </c>
    </row>
    <row r="173" spans="1:1" x14ac:dyDescent="0.25">
      <c r="A173" s="4" t="s">
        <v>501</v>
      </c>
    </row>
    <row r="174" spans="1:1" x14ac:dyDescent="0.25">
      <c r="A174" s="4" t="s">
        <v>502</v>
      </c>
    </row>
    <row r="175" spans="1:1" x14ac:dyDescent="0.25">
      <c r="A175" s="4" t="s">
        <v>503</v>
      </c>
    </row>
    <row r="176" spans="1:1" x14ac:dyDescent="0.25">
      <c r="A176" s="4" t="s">
        <v>504</v>
      </c>
    </row>
    <row r="177" spans="1:1" x14ac:dyDescent="0.25">
      <c r="A177" s="4" t="s">
        <v>505</v>
      </c>
    </row>
    <row r="178" spans="1:1" x14ac:dyDescent="0.25">
      <c r="A178" s="4" t="s">
        <v>506</v>
      </c>
    </row>
    <row r="179" spans="1:1" x14ac:dyDescent="0.25">
      <c r="A179" s="4" t="s">
        <v>507</v>
      </c>
    </row>
    <row r="180" spans="1:1" x14ac:dyDescent="0.25">
      <c r="A180" s="4" t="s">
        <v>508</v>
      </c>
    </row>
    <row r="181" spans="1:1" x14ac:dyDescent="0.25">
      <c r="A181" s="4" t="s">
        <v>509</v>
      </c>
    </row>
    <row r="182" spans="1:1" x14ac:dyDescent="0.25">
      <c r="A182" s="4" t="s">
        <v>510</v>
      </c>
    </row>
    <row r="183" spans="1:1" x14ac:dyDescent="0.25">
      <c r="A183" s="4" t="s">
        <v>511</v>
      </c>
    </row>
    <row r="184" spans="1:1" x14ac:dyDescent="0.25">
      <c r="A184" s="4" t="s">
        <v>512</v>
      </c>
    </row>
    <row r="185" spans="1:1" x14ac:dyDescent="0.25">
      <c r="A185" s="4" t="s">
        <v>513</v>
      </c>
    </row>
    <row r="186" spans="1:1" x14ac:dyDescent="0.25">
      <c r="A186" s="4" t="s">
        <v>514</v>
      </c>
    </row>
    <row r="187" spans="1:1" x14ac:dyDescent="0.25">
      <c r="A187" s="4" t="s">
        <v>515</v>
      </c>
    </row>
    <row r="188" spans="1:1" x14ac:dyDescent="0.25">
      <c r="A188" s="4" t="s">
        <v>516</v>
      </c>
    </row>
    <row r="189" spans="1:1" x14ac:dyDescent="0.25">
      <c r="A189" s="4" t="s">
        <v>517</v>
      </c>
    </row>
    <row r="190" spans="1:1" x14ac:dyDescent="0.25">
      <c r="A190" s="4" t="s">
        <v>518</v>
      </c>
    </row>
    <row r="191" spans="1:1" x14ac:dyDescent="0.25">
      <c r="A191" s="4" t="s">
        <v>519</v>
      </c>
    </row>
    <row r="192" spans="1:1" x14ac:dyDescent="0.25">
      <c r="A192" s="4" t="s">
        <v>520</v>
      </c>
    </row>
    <row r="193" spans="1:1" x14ac:dyDescent="0.25">
      <c r="A193" s="4" t="s">
        <v>521</v>
      </c>
    </row>
    <row r="194" spans="1:1" x14ac:dyDescent="0.25">
      <c r="A194" s="4" t="s">
        <v>522</v>
      </c>
    </row>
    <row r="195" spans="1:1" x14ac:dyDescent="0.25">
      <c r="A195" s="4" t="s">
        <v>523</v>
      </c>
    </row>
    <row r="196" spans="1:1" x14ac:dyDescent="0.25">
      <c r="A196" s="4" t="s">
        <v>524</v>
      </c>
    </row>
    <row r="197" spans="1:1" x14ac:dyDescent="0.25">
      <c r="A197" s="4" t="s">
        <v>525</v>
      </c>
    </row>
    <row r="198" spans="1:1" x14ac:dyDescent="0.25">
      <c r="A198" s="4" t="s">
        <v>526</v>
      </c>
    </row>
    <row r="199" spans="1:1" x14ac:dyDescent="0.25">
      <c r="A199" s="4" t="s">
        <v>527</v>
      </c>
    </row>
    <row r="200" spans="1:1" x14ac:dyDescent="0.25">
      <c r="A200" s="4" t="s">
        <v>528</v>
      </c>
    </row>
    <row r="201" spans="1:1" x14ac:dyDescent="0.25">
      <c r="A201" s="4" t="s">
        <v>529</v>
      </c>
    </row>
    <row r="202" spans="1:1" x14ac:dyDescent="0.25">
      <c r="A202" s="4" t="s">
        <v>530</v>
      </c>
    </row>
    <row r="203" spans="1:1" x14ac:dyDescent="0.25">
      <c r="A203" s="4" t="s">
        <v>531</v>
      </c>
    </row>
    <row r="204" spans="1:1" x14ac:dyDescent="0.25">
      <c r="A204" s="4" t="s">
        <v>532</v>
      </c>
    </row>
    <row r="205" spans="1:1" x14ac:dyDescent="0.25">
      <c r="A205" s="4" t="s">
        <v>533</v>
      </c>
    </row>
    <row r="206" spans="1:1" x14ac:dyDescent="0.25">
      <c r="A206" s="4" t="s">
        <v>534</v>
      </c>
    </row>
    <row r="207" spans="1:1" x14ac:dyDescent="0.25">
      <c r="A207" s="4" t="s">
        <v>535</v>
      </c>
    </row>
    <row r="208" spans="1:1" x14ac:dyDescent="0.25">
      <c r="A208" s="4" t="s">
        <v>536</v>
      </c>
    </row>
    <row r="209" spans="1:1" x14ac:dyDescent="0.25">
      <c r="A209" s="4" t="s">
        <v>537</v>
      </c>
    </row>
    <row r="210" spans="1:1" x14ac:dyDescent="0.25">
      <c r="A210" s="4" t="s">
        <v>538</v>
      </c>
    </row>
    <row r="211" spans="1:1" x14ac:dyDescent="0.25">
      <c r="A211" s="4" t="s">
        <v>539</v>
      </c>
    </row>
    <row r="212" spans="1:1" x14ac:dyDescent="0.25">
      <c r="A212" s="4" t="s">
        <v>540</v>
      </c>
    </row>
    <row r="213" spans="1:1" x14ac:dyDescent="0.25">
      <c r="A213" s="4" t="s">
        <v>541</v>
      </c>
    </row>
    <row r="214" spans="1:1" x14ac:dyDescent="0.25">
      <c r="A214" s="4" t="s">
        <v>542</v>
      </c>
    </row>
    <row r="215" spans="1:1" x14ac:dyDescent="0.25">
      <c r="A215" s="4" t="s">
        <v>543</v>
      </c>
    </row>
    <row r="216" spans="1:1" x14ac:dyDescent="0.25">
      <c r="A216" s="4" t="s">
        <v>544</v>
      </c>
    </row>
    <row r="217" spans="1:1" x14ac:dyDescent="0.25">
      <c r="A217" s="4" t="s">
        <v>545</v>
      </c>
    </row>
    <row r="218" spans="1:1" x14ac:dyDescent="0.25">
      <c r="A218" s="4" t="s">
        <v>546</v>
      </c>
    </row>
    <row r="219" spans="1:1" x14ac:dyDescent="0.25">
      <c r="A219" s="4" t="s">
        <v>547</v>
      </c>
    </row>
    <row r="220" spans="1:1" x14ac:dyDescent="0.25">
      <c r="A220" s="4" t="s">
        <v>548</v>
      </c>
    </row>
    <row r="221" spans="1:1" x14ac:dyDescent="0.25">
      <c r="A221" s="4" t="s">
        <v>549</v>
      </c>
    </row>
    <row r="222" spans="1:1" x14ac:dyDescent="0.25">
      <c r="A222" s="4" t="s">
        <v>550</v>
      </c>
    </row>
    <row r="223" spans="1:1" x14ac:dyDescent="0.25">
      <c r="A223" s="4" t="s">
        <v>551</v>
      </c>
    </row>
    <row r="224" spans="1:1" x14ac:dyDescent="0.25">
      <c r="A224" s="4" t="s">
        <v>552</v>
      </c>
    </row>
    <row r="225" spans="1:1" x14ac:dyDescent="0.25">
      <c r="A225" s="4" t="s">
        <v>553</v>
      </c>
    </row>
    <row r="226" spans="1:1" x14ac:dyDescent="0.25">
      <c r="A226" s="4" t="s">
        <v>554</v>
      </c>
    </row>
    <row r="227" spans="1:1" x14ac:dyDescent="0.25">
      <c r="A227" s="4" t="s">
        <v>555</v>
      </c>
    </row>
    <row r="228" spans="1:1" x14ac:dyDescent="0.25">
      <c r="A228" s="4" t="s">
        <v>556</v>
      </c>
    </row>
    <row r="229" spans="1:1" x14ac:dyDescent="0.25">
      <c r="A229" s="4" t="s">
        <v>557</v>
      </c>
    </row>
    <row r="230" spans="1:1" x14ac:dyDescent="0.25">
      <c r="A230" s="4" t="s">
        <v>558</v>
      </c>
    </row>
    <row r="231" spans="1:1" x14ac:dyDescent="0.25">
      <c r="A231" s="4" t="s">
        <v>559</v>
      </c>
    </row>
    <row r="232" spans="1:1" x14ac:dyDescent="0.25">
      <c r="A232" s="4" t="s">
        <v>560</v>
      </c>
    </row>
    <row r="233" spans="1:1" x14ac:dyDescent="0.25">
      <c r="A233" s="4" t="s">
        <v>561</v>
      </c>
    </row>
    <row r="234" spans="1:1" x14ac:dyDescent="0.25">
      <c r="A234" s="4" t="s">
        <v>562</v>
      </c>
    </row>
    <row r="235" spans="1:1" x14ac:dyDescent="0.25">
      <c r="A235" s="4" t="s">
        <v>563</v>
      </c>
    </row>
    <row r="236" spans="1:1" x14ac:dyDescent="0.25">
      <c r="A236" s="4" t="s">
        <v>564</v>
      </c>
    </row>
    <row r="237" spans="1:1" x14ac:dyDescent="0.25">
      <c r="A237" s="4" t="s">
        <v>565</v>
      </c>
    </row>
    <row r="238" spans="1:1" x14ac:dyDescent="0.25">
      <c r="A238" s="4" t="s">
        <v>566</v>
      </c>
    </row>
    <row r="239" spans="1:1" x14ac:dyDescent="0.25">
      <c r="A239" s="4" t="s">
        <v>567</v>
      </c>
    </row>
    <row r="240" spans="1:1" x14ac:dyDescent="0.25">
      <c r="A240" s="4" t="s">
        <v>568</v>
      </c>
    </row>
    <row r="241" spans="1:1" x14ac:dyDescent="0.25">
      <c r="A241" s="4" t="s">
        <v>569</v>
      </c>
    </row>
    <row r="242" spans="1:1" x14ac:dyDescent="0.25">
      <c r="A242" s="4" t="s">
        <v>570</v>
      </c>
    </row>
    <row r="243" spans="1:1" x14ac:dyDescent="0.25">
      <c r="A243" s="4" t="s">
        <v>571</v>
      </c>
    </row>
    <row r="244" spans="1:1" x14ac:dyDescent="0.25">
      <c r="A244" s="4" t="s">
        <v>572</v>
      </c>
    </row>
    <row r="245" spans="1:1" x14ac:dyDescent="0.25">
      <c r="A245" s="4" t="s">
        <v>573</v>
      </c>
    </row>
    <row r="246" spans="1:1" x14ac:dyDescent="0.25">
      <c r="A246" s="4" t="s">
        <v>574</v>
      </c>
    </row>
    <row r="247" spans="1:1" x14ac:dyDescent="0.25">
      <c r="A247" s="4" t="s">
        <v>575</v>
      </c>
    </row>
    <row r="248" spans="1:1" x14ac:dyDescent="0.25">
      <c r="A248" s="4" t="s">
        <v>576</v>
      </c>
    </row>
    <row r="249" spans="1:1" x14ac:dyDescent="0.25">
      <c r="A249" s="4" t="s">
        <v>577</v>
      </c>
    </row>
    <row r="250" spans="1:1" x14ac:dyDescent="0.25">
      <c r="A250" s="4" t="s">
        <v>578</v>
      </c>
    </row>
    <row r="251" spans="1:1" x14ac:dyDescent="0.25">
      <c r="A251" s="4" t="s">
        <v>579</v>
      </c>
    </row>
    <row r="252" spans="1:1" x14ac:dyDescent="0.25">
      <c r="A252" s="4" t="s">
        <v>580</v>
      </c>
    </row>
    <row r="253" spans="1:1" x14ac:dyDescent="0.25">
      <c r="A253" s="4" t="s">
        <v>581</v>
      </c>
    </row>
    <row r="254" spans="1:1" x14ac:dyDescent="0.25">
      <c r="A254" s="4" t="s">
        <v>582</v>
      </c>
    </row>
    <row r="255" spans="1:1" x14ac:dyDescent="0.25">
      <c r="A255" s="4" t="s">
        <v>583</v>
      </c>
    </row>
    <row r="256" spans="1:1" x14ac:dyDescent="0.25">
      <c r="A256" s="4" t="s">
        <v>584</v>
      </c>
    </row>
    <row r="257" spans="1:1" x14ac:dyDescent="0.25">
      <c r="A257" s="4" t="s">
        <v>585</v>
      </c>
    </row>
    <row r="258" spans="1:1" x14ac:dyDescent="0.25">
      <c r="A258" s="4" t="s">
        <v>586</v>
      </c>
    </row>
    <row r="259" spans="1:1" x14ac:dyDescent="0.25">
      <c r="A259" s="4" t="s">
        <v>587</v>
      </c>
    </row>
    <row r="260" spans="1:1" x14ac:dyDescent="0.25">
      <c r="A260" s="4" t="s">
        <v>588</v>
      </c>
    </row>
    <row r="261" spans="1:1" x14ac:dyDescent="0.25">
      <c r="A261" s="4" t="s">
        <v>589</v>
      </c>
    </row>
    <row r="262" spans="1:1" x14ac:dyDescent="0.25">
      <c r="A262" s="4" t="s">
        <v>590</v>
      </c>
    </row>
    <row r="263" spans="1:1" x14ac:dyDescent="0.25">
      <c r="A263" s="4" t="s">
        <v>591</v>
      </c>
    </row>
    <row r="264" spans="1:1" x14ac:dyDescent="0.25">
      <c r="A264" s="4" t="s">
        <v>592</v>
      </c>
    </row>
    <row r="265" spans="1:1" x14ac:dyDescent="0.25">
      <c r="A265" s="4" t="s">
        <v>593</v>
      </c>
    </row>
    <row r="266" spans="1:1" x14ac:dyDescent="0.25">
      <c r="A266" s="4" t="s">
        <v>594</v>
      </c>
    </row>
    <row r="267" spans="1:1" x14ac:dyDescent="0.25">
      <c r="A267" s="4" t="s">
        <v>595</v>
      </c>
    </row>
    <row r="268" spans="1:1" x14ac:dyDescent="0.25">
      <c r="A268" s="4" t="s">
        <v>596</v>
      </c>
    </row>
    <row r="269" spans="1:1" x14ac:dyDescent="0.25">
      <c r="A269" s="4" t="s">
        <v>597</v>
      </c>
    </row>
    <row r="270" spans="1:1" x14ac:dyDescent="0.25">
      <c r="A270" s="4" t="s">
        <v>598</v>
      </c>
    </row>
    <row r="271" spans="1:1" x14ac:dyDescent="0.25">
      <c r="A271" s="4" t="s">
        <v>599</v>
      </c>
    </row>
    <row r="272" spans="1:1" x14ac:dyDescent="0.25">
      <c r="A272" s="4" t="s">
        <v>600</v>
      </c>
    </row>
    <row r="273" spans="1:1" x14ac:dyDescent="0.25">
      <c r="A273" s="4" t="s">
        <v>601</v>
      </c>
    </row>
    <row r="274" spans="1:1" x14ac:dyDescent="0.25">
      <c r="A274" s="4" t="s">
        <v>602</v>
      </c>
    </row>
    <row r="275" spans="1:1" x14ac:dyDescent="0.25">
      <c r="A275" s="4" t="s">
        <v>603</v>
      </c>
    </row>
    <row r="276" spans="1:1" x14ac:dyDescent="0.25">
      <c r="A276" s="4" t="s">
        <v>604</v>
      </c>
    </row>
    <row r="277" spans="1:1" x14ac:dyDescent="0.25">
      <c r="A277" s="4" t="s">
        <v>605</v>
      </c>
    </row>
    <row r="278" spans="1:1" x14ac:dyDescent="0.25">
      <c r="A278" s="4" t="s">
        <v>606</v>
      </c>
    </row>
    <row r="279" spans="1:1" x14ac:dyDescent="0.25">
      <c r="A279" s="4" t="s">
        <v>607</v>
      </c>
    </row>
    <row r="280" spans="1:1" x14ac:dyDescent="0.25">
      <c r="A280" s="4" t="s">
        <v>608</v>
      </c>
    </row>
    <row r="281" spans="1:1" x14ac:dyDescent="0.25">
      <c r="A281" s="4" t="s">
        <v>609</v>
      </c>
    </row>
    <row r="282" spans="1:1" x14ac:dyDescent="0.25">
      <c r="A282" s="4" t="s">
        <v>610</v>
      </c>
    </row>
    <row r="283" spans="1:1" x14ac:dyDescent="0.25">
      <c r="A283" s="4" t="s">
        <v>611</v>
      </c>
    </row>
    <row r="284" spans="1:1" x14ac:dyDescent="0.25">
      <c r="A284" s="4" t="s">
        <v>612</v>
      </c>
    </row>
    <row r="285" spans="1:1" x14ac:dyDescent="0.25">
      <c r="A285" s="4" t="s">
        <v>613</v>
      </c>
    </row>
    <row r="286" spans="1:1" x14ac:dyDescent="0.25">
      <c r="A286" s="4" t="s">
        <v>614</v>
      </c>
    </row>
    <row r="287" spans="1:1" x14ac:dyDescent="0.25">
      <c r="A287" s="4" t="s">
        <v>615</v>
      </c>
    </row>
    <row r="288" spans="1:1" x14ac:dyDescent="0.25">
      <c r="A288" s="4" t="s">
        <v>616</v>
      </c>
    </row>
    <row r="289" spans="1:1" x14ac:dyDescent="0.25">
      <c r="A289" s="4" t="s">
        <v>617</v>
      </c>
    </row>
    <row r="290" spans="1:1" x14ac:dyDescent="0.25">
      <c r="A290" s="4" t="s">
        <v>618</v>
      </c>
    </row>
    <row r="291" spans="1:1" x14ac:dyDescent="0.25">
      <c r="A291" s="4" t="s">
        <v>619</v>
      </c>
    </row>
    <row r="292" spans="1:1" x14ac:dyDescent="0.25">
      <c r="A292" s="4" t="s">
        <v>620</v>
      </c>
    </row>
    <row r="293" spans="1:1" x14ac:dyDescent="0.25">
      <c r="A293" s="4" t="s">
        <v>621</v>
      </c>
    </row>
    <row r="294" spans="1:1" x14ac:dyDescent="0.25">
      <c r="A294" s="4" t="s">
        <v>622</v>
      </c>
    </row>
    <row r="295" spans="1:1" x14ac:dyDescent="0.25">
      <c r="A295" s="4" t="s">
        <v>623</v>
      </c>
    </row>
    <row r="296" spans="1:1" x14ac:dyDescent="0.25">
      <c r="A296" s="4" t="s">
        <v>624</v>
      </c>
    </row>
    <row r="297" spans="1:1" x14ac:dyDescent="0.25">
      <c r="A297" s="4" t="s">
        <v>625</v>
      </c>
    </row>
    <row r="298" spans="1:1" x14ac:dyDescent="0.25">
      <c r="A298" s="4" t="s">
        <v>626</v>
      </c>
    </row>
    <row r="299" spans="1:1" x14ac:dyDescent="0.25">
      <c r="A299" s="4" t="s">
        <v>627</v>
      </c>
    </row>
    <row r="300" spans="1:1" x14ac:dyDescent="0.25">
      <c r="A300" s="4" t="s">
        <v>628</v>
      </c>
    </row>
    <row r="301" spans="1:1" x14ac:dyDescent="0.25">
      <c r="A301" s="4" t="s">
        <v>629</v>
      </c>
    </row>
    <row r="302" spans="1:1" x14ac:dyDescent="0.25">
      <c r="A302" s="4" t="s">
        <v>630</v>
      </c>
    </row>
    <row r="303" spans="1:1" x14ac:dyDescent="0.25">
      <c r="A303" s="4" t="s">
        <v>631</v>
      </c>
    </row>
    <row r="304" spans="1:1" x14ac:dyDescent="0.25">
      <c r="A304" s="4" t="s">
        <v>632</v>
      </c>
    </row>
    <row r="305" spans="1:1" x14ac:dyDescent="0.25">
      <c r="A305" s="4" t="s">
        <v>633</v>
      </c>
    </row>
    <row r="306" spans="1:1" x14ac:dyDescent="0.25">
      <c r="A306" s="4" t="s">
        <v>634</v>
      </c>
    </row>
    <row r="307" spans="1:1" x14ac:dyDescent="0.25">
      <c r="A307" s="4" t="s">
        <v>635</v>
      </c>
    </row>
    <row r="308" spans="1:1" x14ac:dyDescent="0.25">
      <c r="A308" s="4" t="s">
        <v>636</v>
      </c>
    </row>
    <row r="309" spans="1:1" x14ac:dyDescent="0.25">
      <c r="A309" s="4" t="s">
        <v>637</v>
      </c>
    </row>
    <row r="310" spans="1:1" x14ac:dyDescent="0.25">
      <c r="A310" s="4" t="s">
        <v>638</v>
      </c>
    </row>
    <row r="311" spans="1:1" x14ac:dyDescent="0.25">
      <c r="A311" s="4" t="s">
        <v>639</v>
      </c>
    </row>
    <row r="312" spans="1:1" x14ac:dyDescent="0.25">
      <c r="A312" s="4" t="s">
        <v>640</v>
      </c>
    </row>
    <row r="313" spans="1:1" x14ac:dyDescent="0.25">
      <c r="A313" s="4" t="s">
        <v>641</v>
      </c>
    </row>
    <row r="314" spans="1:1" x14ac:dyDescent="0.25">
      <c r="A314" s="4" t="s">
        <v>642</v>
      </c>
    </row>
    <row r="315" spans="1:1" x14ac:dyDescent="0.25">
      <c r="A315" s="4" t="s">
        <v>643</v>
      </c>
    </row>
    <row r="316" spans="1:1" x14ac:dyDescent="0.25">
      <c r="A316" s="4" t="s">
        <v>644</v>
      </c>
    </row>
    <row r="317" spans="1:1" x14ac:dyDescent="0.25">
      <c r="A317" s="4" t="s">
        <v>645</v>
      </c>
    </row>
    <row r="318" spans="1:1" x14ac:dyDescent="0.25">
      <c r="A318" s="4" t="s">
        <v>646</v>
      </c>
    </row>
    <row r="319" spans="1:1" x14ac:dyDescent="0.25">
      <c r="A319" s="4" t="s">
        <v>647</v>
      </c>
    </row>
    <row r="320" spans="1:1" x14ac:dyDescent="0.25">
      <c r="A320" s="4" t="s">
        <v>648</v>
      </c>
    </row>
    <row r="321" spans="1:1" x14ac:dyDescent="0.25">
      <c r="A321" s="4" t="s">
        <v>649</v>
      </c>
    </row>
    <row r="322" spans="1:1" x14ac:dyDescent="0.25">
      <c r="A322" s="4" t="s">
        <v>650</v>
      </c>
    </row>
    <row r="323" spans="1:1" x14ac:dyDescent="0.25">
      <c r="A323" s="4" t="s">
        <v>651</v>
      </c>
    </row>
    <row r="324" spans="1:1" x14ac:dyDescent="0.25">
      <c r="A324" s="4" t="s">
        <v>652</v>
      </c>
    </row>
    <row r="325" spans="1:1" x14ac:dyDescent="0.25">
      <c r="A325" s="4" t="s">
        <v>653</v>
      </c>
    </row>
    <row r="326" spans="1:1" x14ac:dyDescent="0.25">
      <c r="A326" s="4" t="s">
        <v>654</v>
      </c>
    </row>
    <row r="327" spans="1:1" x14ac:dyDescent="0.25">
      <c r="A327" s="4" t="s">
        <v>655</v>
      </c>
    </row>
    <row r="328" spans="1:1" x14ac:dyDescent="0.25">
      <c r="A328" s="4" t="s">
        <v>656</v>
      </c>
    </row>
    <row r="329" spans="1:1" x14ac:dyDescent="0.25">
      <c r="A329" s="4" t="s">
        <v>657</v>
      </c>
    </row>
    <row r="330" spans="1:1" x14ac:dyDescent="0.25">
      <c r="A330" s="4" t="s">
        <v>658</v>
      </c>
    </row>
    <row r="331" spans="1:1" x14ac:dyDescent="0.25">
      <c r="A331" s="4" t="s">
        <v>659</v>
      </c>
    </row>
    <row r="332" spans="1:1" x14ac:dyDescent="0.25">
      <c r="A332" s="4" t="s">
        <v>660</v>
      </c>
    </row>
    <row r="333" spans="1:1" x14ac:dyDescent="0.25">
      <c r="A333" s="4" t="s">
        <v>661</v>
      </c>
    </row>
    <row r="334" spans="1:1" x14ac:dyDescent="0.25">
      <c r="A334" s="4" t="s">
        <v>662</v>
      </c>
    </row>
    <row r="335" spans="1:1" x14ac:dyDescent="0.25">
      <c r="A335" s="4" t="s">
        <v>663</v>
      </c>
    </row>
    <row r="336" spans="1:1" x14ac:dyDescent="0.25">
      <c r="A336" s="4" t="s">
        <v>664</v>
      </c>
    </row>
    <row r="337" spans="1:1" x14ac:dyDescent="0.25">
      <c r="A337" s="4" t="s">
        <v>665</v>
      </c>
    </row>
    <row r="338" spans="1:1" x14ac:dyDescent="0.25">
      <c r="A338" s="4" t="s">
        <v>666</v>
      </c>
    </row>
    <row r="339" spans="1:1" x14ac:dyDescent="0.25">
      <c r="A339" s="4" t="s">
        <v>667</v>
      </c>
    </row>
    <row r="340" spans="1:1" x14ac:dyDescent="0.25">
      <c r="A340" s="4" t="s">
        <v>668</v>
      </c>
    </row>
    <row r="341" spans="1:1" x14ac:dyDescent="0.25">
      <c r="A341" s="4" t="s">
        <v>669</v>
      </c>
    </row>
    <row r="342" spans="1:1" x14ac:dyDescent="0.25">
      <c r="A342" s="4" t="s">
        <v>670</v>
      </c>
    </row>
    <row r="343" spans="1:1" x14ac:dyDescent="0.25">
      <c r="A343" s="4" t="s">
        <v>671</v>
      </c>
    </row>
    <row r="344" spans="1:1" x14ac:dyDescent="0.25">
      <c r="A344" s="4" t="s">
        <v>672</v>
      </c>
    </row>
    <row r="345" spans="1:1" x14ac:dyDescent="0.25">
      <c r="A345" s="4" t="s">
        <v>673</v>
      </c>
    </row>
    <row r="346" spans="1:1" x14ac:dyDescent="0.25">
      <c r="A346" s="4" t="s">
        <v>674</v>
      </c>
    </row>
    <row r="347" spans="1:1" x14ac:dyDescent="0.25">
      <c r="A347" s="4" t="s">
        <v>675</v>
      </c>
    </row>
    <row r="348" spans="1:1" x14ac:dyDescent="0.25">
      <c r="A348" s="4" t="s">
        <v>676</v>
      </c>
    </row>
    <row r="349" spans="1:1" x14ac:dyDescent="0.25">
      <c r="A349" s="4" t="s">
        <v>677</v>
      </c>
    </row>
    <row r="350" spans="1:1" x14ac:dyDescent="0.25">
      <c r="A350" s="4" t="s">
        <v>678</v>
      </c>
    </row>
    <row r="351" spans="1:1" x14ac:dyDescent="0.25">
      <c r="A351" s="4" t="s">
        <v>679</v>
      </c>
    </row>
    <row r="352" spans="1:1" x14ac:dyDescent="0.25">
      <c r="A352" s="4" t="s">
        <v>680</v>
      </c>
    </row>
    <row r="353" spans="1:1" x14ac:dyDescent="0.25">
      <c r="A353" s="4" t="s">
        <v>681</v>
      </c>
    </row>
    <row r="354" spans="1:1" x14ac:dyDescent="0.25">
      <c r="A354" s="4" t="s">
        <v>682</v>
      </c>
    </row>
    <row r="355" spans="1:1" x14ac:dyDescent="0.25">
      <c r="A355" s="4" t="s">
        <v>683</v>
      </c>
    </row>
    <row r="356" spans="1:1" x14ac:dyDescent="0.25">
      <c r="A356" s="4" t="s">
        <v>684</v>
      </c>
    </row>
    <row r="357" spans="1:1" x14ac:dyDescent="0.25">
      <c r="A357" s="4" t="s">
        <v>685</v>
      </c>
    </row>
    <row r="358" spans="1:1" x14ac:dyDescent="0.25">
      <c r="A358" s="4" t="s">
        <v>686</v>
      </c>
    </row>
    <row r="359" spans="1:1" x14ac:dyDescent="0.25">
      <c r="A359" s="4" t="s">
        <v>687</v>
      </c>
    </row>
    <row r="360" spans="1:1" x14ac:dyDescent="0.25">
      <c r="A360" s="4" t="s">
        <v>688</v>
      </c>
    </row>
    <row r="361" spans="1:1" x14ac:dyDescent="0.25">
      <c r="A361" s="4" t="s">
        <v>689</v>
      </c>
    </row>
    <row r="362" spans="1:1" x14ac:dyDescent="0.25">
      <c r="A362" s="4" t="s">
        <v>690</v>
      </c>
    </row>
    <row r="363" spans="1:1" x14ac:dyDescent="0.25">
      <c r="A363" s="4" t="s">
        <v>691</v>
      </c>
    </row>
    <row r="364" spans="1:1" x14ac:dyDescent="0.25">
      <c r="A364" s="4" t="s">
        <v>692</v>
      </c>
    </row>
    <row r="365" spans="1:1" x14ac:dyDescent="0.25">
      <c r="A365" s="4" t="s">
        <v>693</v>
      </c>
    </row>
    <row r="366" spans="1:1" x14ac:dyDescent="0.25">
      <c r="A366" s="4" t="s">
        <v>694</v>
      </c>
    </row>
    <row r="367" spans="1:1" x14ac:dyDescent="0.25">
      <c r="A367" s="4" t="s">
        <v>695</v>
      </c>
    </row>
    <row r="368" spans="1:1" x14ac:dyDescent="0.25">
      <c r="A368" s="4" t="s">
        <v>696</v>
      </c>
    </row>
    <row r="369" spans="1:1" x14ac:dyDescent="0.25">
      <c r="A369" s="4" t="s">
        <v>697</v>
      </c>
    </row>
    <row r="370" spans="1:1" x14ac:dyDescent="0.25">
      <c r="A370" s="4" t="s">
        <v>698</v>
      </c>
    </row>
    <row r="371" spans="1:1" x14ac:dyDescent="0.25">
      <c r="A371" s="4" t="s">
        <v>699</v>
      </c>
    </row>
    <row r="372" spans="1:1" x14ac:dyDescent="0.25">
      <c r="A372" s="4" t="s">
        <v>700</v>
      </c>
    </row>
    <row r="373" spans="1:1" x14ac:dyDescent="0.25">
      <c r="A373" s="4" t="s">
        <v>701</v>
      </c>
    </row>
    <row r="374" spans="1:1" x14ac:dyDescent="0.25">
      <c r="A374" s="4" t="s">
        <v>702</v>
      </c>
    </row>
    <row r="375" spans="1:1" x14ac:dyDescent="0.25">
      <c r="A375" s="4" t="s">
        <v>703</v>
      </c>
    </row>
    <row r="376" spans="1:1" x14ac:dyDescent="0.25">
      <c r="A376" s="4" t="s">
        <v>704</v>
      </c>
    </row>
    <row r="377" spans="1:1" x14ac:dyDescent="0.25">
      <c r="A377" s="4" t="s">
        <v>705</v>
      </c>
    </row>
    <row r="378" spans="1:1" x14ac:dyDescent="0.25">
      <c r="A378" s="4" t="s">
        <v>706</v>
      </c>
    </row>
    <row r="379" spans="1:1" x14ac:dyDescent="0.25">
      <c r="A379" s="4" t="s">
        <v>707</v>
      </c>
    </row>
    <row r="380" spans="1:1" x14ac:dyDescent="0.25">
      <c r="A380" s="4" t="s">
        <v>708</v>
      </c>
    </row>
    <row r="381" spans="1:1" x14ac:dyDescent="0.25">
      <c r="A381" s="4" t="s">
        <v>709</v>
      </c>
    </row>
    <row r="382" spans="1:1" x14ac:dyDescent="0.25">
      <c r="A382" s="4" t="s">
        <v>710</v>
      </c>
    </row>
    <row r="383" spans="1:1" x14ac:dyDescent="0.25">
      <c r="A383" s="4" t="s">
        <v>711</v>
      </c>
    </row>
    <row r="384" spans="1:1" x14ac:dyDescent="0.25">
      <c r="A384" s="4" t="s">
        <v>712</v>
      </c>
    </row>
    <row r="385" spans="1:1" x14ac:dyDescent="0.25">
      <c r="A385" s="4" t="s">
        <v>713</v>
      </c>
    </row>
    <row r="386" spans="1:1" x14ac:dyDescent="0.25">
      <c r="A386" s="4" t="s">
        <v>714</v>
      </c>
    </row>
    <row r="387" spans="1:1" x14ac:dyDescent="0.25">
      <c r="A387" s="4" t="s">
        <v>715</v>
      </c>
    </row>
    <row r="388" spans="1:1" x14ac:dyDescent="0.25">
      <c r="A388" s="4" t="s">
        <v>716</v>
      </c>
    </row>
    <row r="389" spans="1:1" x14ac:dyDescent="0.25">
      <c r="A389" s="4" t="s">
        <v>717</v>
      </c>
    </row>
    <row r="390" spans="1:1" x14ac:dyDescent="0.25">
      <c r="A390" s="4" t="s">
        <v>718</v>
      </c>
    </row>
    <row r="391" spans="1:1" x14ac:dyDescent="0.25">
      <c r="A391" s="4" t="s">
        <v>719</v>
      </c>
    </row>
    <row r="392" spans="1:1" x14ac:dyDescent="0.25">
      <c r="A392" s="4" t="s">
        <v>720</v>
      </c>
    </row>
    <row r="393" spans="1:1" x14ac:dyDescent="0.25">
      <c r="A393" s="4" t="s">
        <v>721</v>
      </c>
    </row>
    <row r="394" spans="1:1" x14ac:dyDescent="0.25">
      <c r="A394" s="4" t="s">
        <v>722</v>
      </c>
    </row>
    <row r="395" spans="1:1" x14ac:dyDescent="0.25">
      <c r="A395" s="4" t="s">
        <v>723</v>
      </c>
    </row>
    <row r="396" spans="1:1" x14ac:dyDescent="0.25">
      <c r="A396" s="4" t="s">
        <v>724</v>
      </c>
    </row>
    <row r="397" spans="1:1" x14ac:dyDescent="0.25">
      <c r="A397" s="4" t="s">
        <v>725</v>
      </c>
    </row>
    <row r="398" spans="1:1" x14ac:dyDescent="0.25">
      <c r="A398" s="4" t="s">
        <v>726</v>
      </c>
    </row>
    <row r="399" spans="1:1" x14ac:dyDescent="0.25">
      <c r="A399" s="4" t="s">
        <v>727</v>
      </c>
    </row>
    <row r="400" spans="1:1" x14ac:dyDescent="0.25">
      <c r="A400" s="4" t="s">
        <v>728</v>
      </c>
    </row>
    <row r="401" spans="1:1" x14ac:dyDescent="0.25">
      <c r="A401" s="4" t="s">
        <v>729</v>
      </c>
    </row>
    <row r="402" spans="1:1" x14ac:dyDescent="0.25">
      <c r="A402" s="4" t="s">
        <v>730</v>
      </c>
    </row>
    <row r="403" spans="1:1" x14ac:dyDescent="0.25">
      <c r="A403" s="4" t="s">
        <v>731</v>
      </c>
    </row>
    <row r="404" spans="1:1" x14ac:dyDescent="0.25">
      <c r="A404" s="4" t="s">
        <v>732</v>
      </c>
    </row>
    <row r="405" spans="1:1" x14ac:dyDescent="0.25">
      <c r="A405" s="4" t="s">
        <v>733</v>
      </c>
    </row>
    <row r="406" spans="1:1" x14ac:dyDescent="0.25">
      <c r="A406" s="4" t="s">
        <v>734</v>
      </c>
    </row>
    <row r="407" spans="1:1" x14ac:dyDescent="0.25">
      <c r="A407" s="4" t="s">
        <v>735</v>
      </c>
    </row>
    <row r="408" spans="1:1" x14ac:dyDescent="0.25">
      <c r="A408" s="4" t="s">
        <v>736</v>
      </c>
    </row>
    <row r="409" spans="1:1" x14ac:dyDescent="0.25">
      <c r="A409" s="4" t="s">
        <v>737</v>
      </c>
    </row>
    <row r="410" spans="1:1" x14ac:dyDescent="0.25">
      <c r="A410" s="4" t="s">
        <v>738</v>
      </c>
    </row>
    <row r="411" spans="1:1" x14ac:dyDescent="0.25">
      <c r="A411" s="4" t="s">
        <v>739</v>
      </c>
    </row>
    <row r="412" spans="1:1" x14ac:dyDescent="0.25">
      <c r="A412" s="4" t="s">
        <v>740</v>
      </c>
    </row>
    <row r="413" spans="1:1" x14ac:dyDescent="0.25">
      <c r="A413" s="4" t="s">
        <v>741</v>
      </c>
    </row>
    <row r="414" spans="1:1" x14ac:dyDescent="0.25">
      <c r="A414" s="4" t="s">
        <v>742</v>
      </c>
    </row>
    <row r="415" spans="1:1" x14ac:dyDescent="0.25">
      <c r="A415" s="4" t="s">
        <v>743</v>
      </c>
    </row>
    <row r="416" spans="1:1" x14ac:dyDescent="0.25">
      <c r="A416" s="4" t="s">
        <v>744</v>
      </c>
    </row>
    <row r="417" spans="1:1" x14ac:dyDescent="0.25">
      <c r="A417" s="4" t="s">
        <v>745</v>
      </c>
    </row>
    <row r="418" spans="1:1" x14ac:dyDescent="0.25">
      <c r="A418" s="4" t="s">
        <v>746</v>
      </c>
    </row>
    <row r="419" spans="1:1" x14ac:dyDescent="0.25">
      <c r="A419" s="4" t="s">
        <v>747</v>
      </c>
    </row>
    <row r="420" spans="1:1" x14ac:dyDescent="0.25">
      <c r="A420" s="4" t="s">
        <v>748</v>
      </c>
    </row>
    <row r="421" spans="1:1" x14ac:dyDescent="0.25">
      <c r="A421" s="4" t="s">
        <v>749</v>
      </c>
    </row>
    <row r="422" spans="1:1" x14ac:dyDescent="0.25">
      <c r="A422" s="4" t="s">
        <v>750</v>
      </c>
    </row>
    <row r="423" spans="1:1" x14ac:dyDescent="0.25">
      <c r="A423" s="4" t="s">
        <v>751</v>
      </c>
    </row>
    <row r="424" spans="1:1" x14ac:dyDescent="0.25">
      <c r="A424" s="4" t="s">
        <v>752</v>
      </c>
    </row>
    <row r="425" spans="1:1" x14ac:dyDescent="0.25">
      <c r="A425" s="4" t="s">
        <v>753</v>
      </c>
    </row>
    <row r="426" spans="1:1" x14ac:dyDescent="0.25">
      <c r="A426" s="4" t="s">
        <v>754</v>
      </c>
    </row>
    <row r="427" spans="1:1" x14ac:dyDescent="0.25">
      <c r="A427" s="4" t="s">
        <v>755</v>
      </c>
    </row>
    <row r="428" spans="1:1" x14ac:dyDescent="0.25">
      <c r="A428" s="4" t="s">
        <v>756</v>
      </c>
    </row>
    <row r="429" spans="1:1" x14ac:dyDescent="0.25">
      <c r="A429" s="4" t="s">
        <v>757</v>
      </c>
    </row>
    <row r="430" spans="1:1" x14ac:dyDescent="0.25">
      <c r="A430" s="4" t="s">
        <v>758</v>
      </c>
    </row>
    <row r="431" spans="1:1" x14ac:dyDescent="0.25">
      <c r="A431" s="4" t="s">
        <v>759</v>
      </c>
    </row>
    <row r="432" spans="1:1" x14ac:dyDescent="0.25">
      <c r="A432" s="4" t="s">
        <v>760</v>
      </c>
    </row>
    <row r="433" spans="1:1" x14ac:dyDescent="0.25">
      <c r="A433" s="4" t="s">
        <v>761</v>
      </c>
    </row>
    <row r="434" spans="1:1" x14ac:dyDescent="0.25">
      <c r="A434" s="4" t="s">
        <v>762</v>
      </c>
    </row>
    <row r="435" spans="1:1" x14ac:dyDescent="0.25">
      <c r="A435" s="4" t="s">
        <v>763</v>
      </c>
    </row>
    <row r="436" spans="1:1" x14ac:dyDescent="0.25">
      <c r="A436" s="4" t="s">
        <v>764</v>
      </c>
    </row>
    <row r="437" spans="1:1" x14ac:dyDescent="0.25">
      <c r="A437" s="4" t="s">
        <v>765</v>
      </c>
    </row>
    <row r="438" spans="1:1" x14ac:dyDescent="0.25">
      <c r="A438" s="4" t="s">
        <v>766</v>
      </c>
    </row>
    <row r="439" spans="1:1" x14ac:dyDescent="0.25">
      <c r="A439" s="4" t="s">
        <v>767</v>
      </c>
    </row>
    <row r="440" spans="1:1" x14ac:dyDescent="0.25">
      <c r="A440" s="4" t="s">
        <v>768</v>
      </c>
    </row>
    <row r="441" spans="1:1" x14ac:dyDescent="0.25">
      <c r="A441" s="4" t="s">
        <v>769</v>
      </c>
    </row>
    <row r="442" spans="1:1" x14ac:dyDescent="0.25">
      <c r="A442" s="4" t="s">
        <v>770</v>
      </c>
    </row>
    <row r="443" spans="1:1" x14ac:dyDescent="0.25">
      <c r="A443" s="4" t="s">
        <v>771</v>
      </c>
    </row>
    <row r="444" spans="1:1" x14ac:dyDescent="0.25">
      <c r="A444" s="4" t="s">
        <v>772</v>
      </c>
    </row>
    <row r="445" spans="1:1" x14ac:dyDescent="0.25">
      <c r="A445" s="4" t="s">
        <v>773</v>
      </c>
    </row>
    <row r="446" spans="1:1" x14ac:dyDescent="0.25">
      <c r="A446" s="4" t="s">
        <v>774</v>
      </c>
    </row>
    <row r="447" spans="1:1" x14ac:dyDescent="0.25">
      <c r="A447" s="4" t="s">
        <v>775</v>
      </c>
    </row>
    <row r="448" spans="1:1" x14ac:dyDescent="0.25">
      <c r="A448" s="4" t="s">
        <v>776</v>
      </c>
    </row>
    <row r="449" spans="1:1" x14ac:dyDescent="0.25">
      <c r="A449" s="4" t="s">
        <v>777</v>
      </c>
    </row>
    <row r="450" spans="1:1" x14ac:dyDescent="0.25">
      <c r="A450" s="4" t="s">
        <v>778</v>
      </c>
    </row>
    <row r="451" spans="1:1" x14ac:dyDescent="0.25">
      <c r="A451" s="4" t="s">
        <v>779</v>
      </c>
    </row>
    <row r="452" spans="1:1" x14ac:dyDescent="0.25">
      <c r="A452" s="4" t="s">
        <v>780</v>
      </c>
    </row>
    <row r="453" spans="1:1" x14ac:dyDescent="0.25">
      <c r="A453" s="4" t="s">
        <v>781</v>
      </c>
    </row>
    <row r="454" spans="1:1" x14ac:dyDescent="0.25">
      <c r="A454" s="4" t="s">
        <v>782</v>
      </c>
    </row>
    <row r="455" spans="1:1" x14ac:dyDescent="0.25">
      <c r="A455" s="4" t="s">
        <v>783</v>
      </c>
    </row>
    <row r="456" spans="1:1" x14ac:dyDescent="0.25">
      <c r="A456" s="4" t="s">
        <v>784</v>
      </c>
    </row>
    <row r="457" spans="1:1" x14ac:dyDescent="0.25">
      <c r="A457" s="4" t="s">
        <v>785</v>
      </c>
    </row>
    <row r="458" spans="1:1" x14ac:dyDescent="0.25">
      <c r="A458" s="4" t="s">
        <v>786</v>
      </c>
    </row>
    <row r="459" spans="1:1" x14ac:dyDescent="0.25">
      <c r="A459" s="4" t="s">
        <v>787</v>
      </c>
    </row>
    <row r="460" spans="1:1" x14ac:dyDescent="0.25">
      <c r="A460" s="4" t="s">
        <v>788</v>
      </c>
    </row>
    <row r="461" spans="1:1" x14ac:dyDescent="0.25">
      <c r="A461" s="4" t="s">
        <v>789</v>
      </c>
    </row>
    <row r="462" spans="1:1" x14ac:dyDescent="0.25">
      <c r="A462" s="4" t="s">
        <v>790</v>
      </c>
    </row>
    <row r="463" spans="1:1" x14ac:dyDescent="0.25">
      <c r="A463" s="4" t="s">
        <v>791</v>
      </c>
    </row>
    <row r="464" spans="1:1" x14ac:dyDescent="0.25">
      <c r="A464" s="4" t="s">
        <v>792</v>
      </c>
    </row>
    <row r="465" spans="1:1" x14ac:dyDescent="0.25">
      <c r="A465" s="4" t="s">
        <v>793</v>
      </c>
    </row>
    <row r="466" spans="1:1" x14ac:dyDescent="0.25">
      <c r="A466" s="4" t="s">
        <v>794</v>
      </c>
    </row>
    <row r="467" spans="1:1" x14ac:dyDescent="0.25">
      <c r="A467" s="4" t="s">
        <v>795</v>
      </c>
    </row>
    <row r="468" spans="1:1" x14ac:dyDescent="0.25">
      <c r="A468" s="4" t="s">
        <v>796</v>
      </c>
    </row>
    <row r="469" spans="1:1" x14ac:dyDescent="0.25">
      <c r="A469" s="4" t="s">
        <v>797</v>
      </c>
    </row>
    <row r="470" spans="1:1" x14ac:dyDescent="0.25">
      <c r="A470" s="4" t="s">
        <v>798</v>
      </c>
    </row>
    <row r="471" spans="1:1" x14ac:dyDescent="0.25">
      <c r="A471" s="4" t="s">
        <v>799</v>
      </c>
    </row>
    <row r="472" spans="1:1" x14ac:dyDescent="0.25">
      <c r="A472" s="4" t="s">
        <v>800</v>
      </c>
    </row>
    <row r="473" spans="1:1" x14ac:dyDescent="0.25">
      <c r="A473" s="4" t="s">
        <v>801</v>
      </c>
    </row>
    <row r="474" spans="1:1" x14ac:dyDescent="0.25">
      <c r="A474" s="4" t="s">
        <v>802</v>
      </c>
    </row>
    <row r="475" spans="1:1" x14ac:dyDescent="0.25">
      <c r="A475" s="4" t="s">
        <v>803</v>
      </c>
    </row>
    <row r="476" spans="1:1" x14ac:dyDescent="0.25">
      <c r="A476" s="4" t="s">
        <v>804</v>
      </c>
    </row>
    <row r="477" spans="1:1" x14ac:dyDescent="0.25">
      <c r="A477" s="4" t="s">
        <v>805</v>
      </c>
    </row>
    <row r="478" spans="1:1" x14ac:dyDescent="0.25">
      <c r="A478" s="4" t="s">
        <v>806</v>
      </c>
    </row>
    <row r="479" spans="1:1" x14ac:dyDescent="0.25">
      <c r="A479" s="4" t="s">
        <v>807</v>
      </c>
    </row>
    <row r="480" spans="1:1" x14ac:dyDescent="0.25">
      <c r="A480" s="4" t="s">
        <v>808</v>
      </c>
    </row>
    <row r="481" spans="1:1" x14ac:dyDescent="0.25">
      <c r="A481" s="4" t="s">
        <v>809</v>
      </c>
    </row>
    <row r="482" spans="1:1" x14ac:dyDescent="0.25">
      <c r="A482" s="4" t="s">
        <v>810</v>
      </c>
    </row>
    <row r="483" spans="1:1" x14ac:dyDescent="0.25">
      <c r="A483" s="4" t="s">
        <v>811</v>
      </c>
    </row>
    <row r="484" spans="1:1" x14ac:dyDescent="0.25">
      <c r="A484" s="4" t="s">
        <v>812</v>
      </c>
    </row>
    <row r="485" spans="1:1" x14ac:dyDescent="0.25">
      <c r="A485" s="4" t="s">
        <v>813</v>
      </c>
    </row>
    <row r="486" spans="1:1" x14ac:dyDescent="0.25">
      <c r="A486" s="4" t="s">
        <v>814</v>
      </c>
    </row>
    <row r="487" spans="1:1" x14ac:dyDescent="0.25">
      <c r="A487" s="4" t="s">
        <v>815</v>
      </c>
    </row>
    <row r="488" spans="1:1" x14ac:dyDescent="0.25">
      <c r="A488" s="4" t="s">
        <v>816</v>
      </c>
    </row>
    <row r="489" spans="1:1" x14ac:dyDescent="0.25">
      <c r="A489" s="4" t="s">
        <v>817</v>
      </c>
    </row>
    <row r="490" spans="1:1" x14ac:dyDescent="0.25">
      <c r="A490" s="4" t="s">
        <v>818</v>
      </c>
    </row>
    <row r="491" spans="1:1" x14ac:dyDescent="0.25">
      <c r="A491" s="4" t="s">
        <v>819</v>
      </c>
    </row>
    <row r="492" spans="1:1" x14ac:dyDescent="0.25">
      <c r="A492" s="4" t="s">
        <v>820</v>
      </c>
    </row>
    <row r="493" spans="1:1" x14ac:dyDescent="0.25">
      <c r="A493" s="4" t="s">
        <v>821</v>
      </c>
    </row>
    <row r="494" spans="1:1" x14ac:dyDescent="0.25">
      <c r="A494" s="4" t="s">
        <v>822</v>
      </c>
    </row>
    <row r="495" spans="1:1" x14ac:dyDescent="0.25">
      <c r="A495" s="4" t="s">
        <v>823</v>
      </c>
    </row>
    <row r="496" spans="1:1" x14ac:dyDescent="0.25">
      <c r="A496" s="4" t="s">
        <v>824</v>
      </c>
    </row>
    <row r="497" spans="1:1" x14ac:dyDescent="0.25">
      <c r="A497" s="4" t="s">
        <v>825</v>
      </c>
    </row>
    <row r="498" spans="1:1" x14ac:dyDescent="0.25">
      <c r="A498" s="4" t="s">
        <v>826</v>
      </c>
    </row>
    <row r="499" spans="1:1" x14ac:dyDescent="0.25">
      <c r="A499" s="4" t="s">
        <v>827</v>
      </c>
    </row>
    <row r="500" spans="1:1" x14ac:dyDescent="0.25">
      <c r="A500" s="4" t="s">
        <v>828</v>
      </c>
    </row>
    <row r="501" spans="1:1" x14ac:dyDescent="0.25">
      <c r="A501" s="4" t="s">
        <v>829</v>
      </c>
    </row>
    <row r="502" spans="1:1" x14ac:dyDescent="0.25">
      <c r="A502" s="4" t="s">
        <v>830</v>
      </c>
    </row>
    <row r="503" spans="1:1" x14ac:dyDescent="0.25">
      <c r="A503" s="4" t="s">
        <v>831</v>
      </c>
    </row>
    <row r="504" spans="1:1" x14ac:dyDescent="0.25">
      <c r="A504" s="4" t="s">
        <v>832</v>
      </c>
    </row>
    <row r="505" spans="1:1" x14ac:dyDescent="0.25">
      <c r="A505" s="4" t="s">
        <v>833</v>
      </c>
    </row>
    <row r="506" spans="1:1" x14ac:dyDescent="0.25">
      <c r="A506" s="4" t="s">
        <v>834</v>
      </c>
    </row>
    <row r="507" spans="1:1" x14ac:dyDescent="0.25">
      <c r="A507" s="4" t="s">
        <v>835</v>
      </c>
    </row>
    <row r="508" spans="1:1" x14ac:dyDescent="0.25">
      <c r="A508" s="4" t="s">
        <v>836</v>
      </c>
    </row>
    <row r="509" spans="1:1" x14ac:dyDescent="0.25">
      <c r="A509" s="4" t="s">
        <v>837</v>
      </c>
    </row>
    <row r="510" spans="1:1" x14ac:dyDescent="0.25">
      <c r="A510" s="4" t="s">
        <v>838</v>
      </c>
    </row>
    <row r="511" spans="1:1" x14ac:dyDescent="0.25">
      <c r="A511" s="4" t="s">
        <v>839</v>
      </c>
    </row>
    <row r="512" spans="1:1" x14ac:dyDescent="0.25">
      <c r="A512" s="4" t="s">
        <v>840</v>
      </c>
    </row>
    <row r="513" spans="1:1" x14ac:dyDescent="0.25">
      <c r="A513" s="4" t="s">
        <v>841</v>
      </c>
    </row>
    <row r="514" spans="1:1" x14ac:dyDescent="0.25">
      <c r="A514" s="4" t="s">
        <v>842</v>
      </c>
    </row>
    <row r="515" spans="1:1" x14ac:dyDescent="0.25">
      <c r="A515" s="4" t="s">
        <v>843</v>
      </c>
    </row>
    <row r="516" spans="1:1" x14ac:dyDescent="0.25">
      <c r="A516" s="4" t="s">
        <v>844</v>
      </c>
    </row>
    <row r="517" spans="1:1" x14ac:dyDescent="0.25">
      <c r="A517" s="4" t="s">
        <v>845</v>
      </c>
    </row>
    <row r="518" spans="1:1" x14ac:dyDescent="0.25">
      <c r="A518" s="4" t="s">
        <v>846</v>
      </c>
    </row>
    <row r="519" spans="1:1" x14ac:dyDescent="0.25">
      <c r="A519" s="4" t="s">
        <v>847</v>
      </c>
    </row>
    <row r="520" spans="1:1" x14ac:dyDescent="0.25">
      <c r="A520" s="4" t="s">
        <v>848</v>
      </c>
    </row>
    <row r="521" spans="1:1" x14ac:dyDescent="0.25">
      <c r="A521" s="4" t="s">
        <v>849</v>
      </c>
    </row>
    <row r="522" spans="1:1" x14ac:dyDescent="0.25">
      <c r="A522" s="4" t="s">
        <v>850</v>
      </c>
    </row>
    <row r="523" spans="1:1" x14ac:dyDescent="0.25">
      <c r="A523" s="4" t="s">
        <v>851</v>
      </c>
    </row>
    <row r="524" spans="1:1" x14ac:dyDescent="0.25">
      <c r="A524" s="4" t="s">
        <v>852</v>
      </c>
    </row>
    <row r="525" spans="1:1" x14ac:dyDescent="0.25">
      <c r="A525" s="4" t="s">
        <v>853</v>
      </c>
    </row>
    <row r="526" spans="1:1" x14ac:dyDescent="0.25">
      <c r="A526" s="4" t="s">
        <v>854</v>
      </c>
    </row>
    <row r="527" spans="1:1" x14ac:dyDescent="0.25">
      <c r="A527" s="4" t="s">
        <v>855</v>
      </c>
    </row>
    <row r="528" spans="1:1" x14ac:dyDescent="0.25">
      <c r="A528" s="4" t="s">
        <v>856</v>
      </c>
    </row>
    <row r="529" spans="1:1" x14ac:dyDescent="0.25">
      <c r="A529" s="4" t="s">
        <v>857</v>
      </c>
    </row>
    <row r="530" spans="1:1" x14ac:dyDescent="0.25">
      <c r="A530" s="4" t="s">
        <v>858</v>
      </c>
    </row>
    <row r="531" spans="1:1" x14ac:dyDescent="0.25">
      <c r="A531" s="4" t="s">
        <v>859</v>
      </c>
    </row>
    <row r="532" spans="1:1" x14ac:dyDescent="0.25">
      <c r="A532" s="4" t="s">
        <v>860</v>
      </c>
    </row>
    <row r="533" spans="1:1" x14ac:dyDescent="0.25">
      <c r="A533" s="4" t="s">
        <v>861</v>
      </c>
    </row>
    <row r="534" spans="1:1" x14ac:dyDescent="0.25">
      <c r="A534" s="4" t="s">
        <v>862</v>
      </c>
    </row>
    <row r="535" spans="1:1" x14ac:dyDescent="0.25">
      <c r="A535" s="4" t="s">
        <v>863</v>
      </c>
    </row>
    <row r="536" spans="1:1" x14ac:dyDescent="0.25">
      <c r="A536" s="4" t="s">
        <v>864</v>
      </c>
    </row>
    <row r="537" spans="1:1" x14ac:dyDescent="0.25">
      <c r="A537" s="4" t="s">
        <v>865</v>
      </c>
    </row>
    <row r="538" spans="1:1" x14ac:dyDescent="0.25">
      <c r="A538" s="4" t="s">
        <v>866</v>
      </c>
    </row>
    <row r="539" spans="1:1" x14ac:dyDescent="0.25">
      <c r="A539" s="4" t="s">
        <v>867</v>
      </c>
    </row>
    <row r="540" spans="1:1" x14ac:dyDescent="0.25">
      <c r="A540" s="4" t="s">
        <v>868</v>
      </c>
    </row>
    <row r="541" spans="1:1" x14ac:dyDescent="0.25">
      <c r="A541" s="4" t="s">
        <v>869</v>
      </c>
    </row>
    <row r="542" spans="1:1" x14ac:dyDescent="0.25">
      <c r="A542" s="4" t="s">
        <v>870</v>
      </c>
    </row>
    <row r="543" spans="1:1" x14ac:dyDescent="0.25">
      <c r="A543" s="4" t="s">
        <v>871</v>
      </c>
    </row>
    <row r="544" spans="1:1" x14ac:dyDescent="0.25">
      <c r="A544" s="4" t="s">
        <v>872</v>
      </c>
    </row>
    <row r="545" spans="1:1" x14ac:dyDescent="0.25">
      <c r="A545" s="4" t="s">
        <v>873</v>
      </c>
    </row>
    <row r="546" spans="1:1" x14ac:dyDescent="0.25">
      <c r="A546" s="4" t="s">
        <v>874</v>
      </c>
    </row>
    <row r="547" spans="1:1" x14ac:dyDescent="0.25">
      <c r="A547" s="4" t="s">
        <v>875</v>
      </c>
    </row>
    <row r="548" spans="1:1" x14ac:dyDescent="0.25">
      <c r="A548" s="4" t="s">
        <v>876</v>
      </c>
    </row>
    <row r="549" spans="1:1" x14ac:dyDescent="0.25">
      <c r="A549" s="4" t="s">
        <v>877</v>
      </c>
    </row>
    <row r="550" spans="1:1" x14ac:dyDescent="0.25">
      <c r="A550" s="4" t="s">
        <v>878</v>
      </c>
    </row>
    <row r="551" spans="1:1" x14ac:dyDescent="0.25">
      <c r="A551" s="4" t="s">
        <v>879</v>
      </c>
    </row>
    <row r="552" spans="1:1" x14ac:dyDescent="0.25">
      <c r="A552" s="4" t="s">
        <v>880</v>
      </c>
    </row>
    <row r="553" spans="1:1" x14ac:dyDescent="0.25">
      <c r="A553" s="4" t="s">
        <v>881</v>
      </c>
    </row>
    <row r="554" spans="1:1" x14ac:dyDescent="0.25">
      <c r="A554" s="4" t="s">
        <v>882</v>
      </c>
    </row>
    <row r="555" spans="1:1" x14ac:dyDescent="0.25">
      <c r="A555" s="4" t="s">
        <v>883</v>
      </c>
    </row>
    <row r="556" spans="1:1" x14ac:dyDescent="0.25">
      <c r="A556" s="4" t="s">
        <v>884</v>
      </c>
    </row>
    <row r="557" spans="1:1" x14ac:dyDescent="0.25">
      <c r="A557" s="4" t="s">
        <v>885</v>
      </c>
    </row>
    <row r="558" spans="1:1" x14ac:dyDescent="0.25">
      <c r="A558" s="4" t="s">
        <v>886</v>
      </c>
    </row>
    <row r="559" spans="1:1" x14ac:dyDescent="0.25">
      <c r="A559" s="4" t="s">
        <v>887</v>
      </c>
    </row>
    <row r="560" spans="1:1" x14ac:dyDescent="0.25">
      <c r="A560" s="4" t="s">
        <v>888</v>
      </c>
    </row>
    <row r="561" spans="1:1" x14ac:dyDescent="0.25">
      <c r="A561" s="4" t="s">
        <v>889</v>
      </c>
    </row>
    <row r="562" spans="1:1" x14ac:dyDescent="0.25">
      <c r="A562" s="4" t="s">
        <v>890</v>
      </c>
    </row>
    <row r="563" spans="1:1" x14ac:dyDescent="0.25">
      <c r="A563" s="4" t="s">
        <v>891</v>
      </c>
    </row>
    <row r="564" spans="1:1" x14ac:dyDescent="0.25">
      <c r="A564" s="4" t="s">
        <v>892</v>
      </c>
    </row>
    <row r="565" spans="1:1" x14ac:dyDescent="0.25">
      <c r="A565" s="4" t="s">
        <v>893</v>
      </c>
    </row>
    <row r="566" spans="1:1" x14ac:dyDescent="0.25">
      <c r="A566" s="4" t="s">
        <v>894</v>
      </c>
    </row>
    <row r="567" spans="1:1" x14ac:dyDescent="0.25">
      <c r="A567" s="4" t="s">
        <v>895</v>
      </c>
    </row>
    <row r="568" spans="1:1" x14ac:dyDescent="0.25">
      <c r="A568" s="4" t="s">
        <v>896</v>
      </c>
    </row>
    <row r="569" spans="1:1" x14ac:dyDescent="0.25">
      <c r="A569" s="4" t="s">
        <v>897</v>
      </c>
    </row>
    <row r="570" spans="1:1" x14ac:dyDescent="0.25">
      <c r="A570" s="4" t="s">
        <v>898</v>
      </c>
    </row>
    <row r="571" spans="1:1" x14ac:dyDescent="0.25">
      <c r="A571" s="4" t="s">
        <v>899</v>
      </c>
    </row>
    <row r="572" spans="1:1" x14ac:dyDescent="0.25">
      <c r="A572" s="4" t="s">
        <v>900</v>
      </c>
    </row>
    <row r="573" spans="1:1" x14ac:dyDescent="0.25">
      <c r="A573" s="4" t="s">
        <v>901</v>
      </c>
    </row>
    <row r="574" spans="1:1" x14ac:dyDescent="0.25">
      <c r="A574" s="4" t="s">
        <v>902</v>
      </c>
    </row>
    <row r="575" spans="1:1" x14ac:dyDescent="0.25">
      <c r="A575" s="4" t="s">
        <v>903</v>
      </c>
    </row>
    <row r="576" spans="1:1" x14ac:dyDescent="0.25">
      <c r="A576" s="4" t="s">
        <v>904</v>
      </c>
    </row>
    <row r="577" spans="1:1" x14ac:dyDescent="0.25">
      <c r="A577" s="4" t="s">
        <v>905</v>
      </c>
    </row>
    <row r="578" spans="1:1" x14ac:dyDescent="0.25">
      <c r="A578" s="4" t="s">
        <v>906</v>
      </c>
    </row>
    <row r="579" spans="1:1" x14ac:dyDescent="0.25">
      <c r="A579" s="4" t="s">
        <v>907</v>
      </c>
    </row>
    <row r="580" spans="1:1" x14ac:dyDescent="0.25">
      <c r="A580" s="4" t="s">
        <v>908</v>
      </c>
    </row>
    <row r="581" spans="1:1" x14ac:dyDescent="0.25">
      <c r="A581" s="4" t="s">
        <v>909</v>
      </c>
    </row>
    <row r="582" spans="1:1" x14ac:dyDescent="0.25">
      <c r="A582" s="4" t="s">
        <v>910</v>
      </c>
    </row>
    <row r="583" spans="1:1" x14ac:dyDescent="0.25">
      <c r="A583" s="4" t="s">
        <v>911</v>
      </c>
    </row>
    <row r="584" spans="1:1" x14ac:dyDescent="0.25">
      <c r="A584" s="4" t="s">
        <v>912</v>
      </c>
    </row>
    <row r="585" spans="1:1" x14ac:dyDescent="0.25">
      <c r="A585" s="4" t="s">
        <v>913</v>
      </c>
    </row>
    <row r="586" spans="1:1" x14ac:dyDescent="0.25">
      <c r="A586" s="4" t="s">
        <v>914</v>
      </c>
    </row>
    <row r="587" spans="1:1" x14ac:dyDescent="0.25">
      <c r="A587" s="4" t="s">
        <v>915</v>
      </c>
    </row>
    <row r="588" spans="1:1" x14ac:dyDescent="0.25">
      <c r="A588" s="4" t="s">
        <v>916</v>
      </c>
    </row>
    <row r="589" spans="1:1" x14ac:dyDescent="0.25">
      <c r="A589" s="4" t="s">
        <v>917</v>
      </c>
    </row>
    <row r="590" spans="1:1" x14ac:dyDescent="0.25">
      <c r="A590" s="4" t="s">
        <v>918</v>
      </c>
    </row>
    <row r="591" spans="1:1" x14ac:dyDescent="0.25">
      <c r="A591" s="4" t="s">
        <v>919</v>
      </c>
    </row>
    <row r="592" spans="1:1" x14ac:dyDescent="0.25">
      <c r="A592" s="4" t="s">
        <v>920</v>
      </c>
    </row>
    <row r="593" spans="1:1" x14ac:dyDescent="0.25">
      <c r="A593" s="4" t="s">
        <v>921</v>
      </c>
    </row>
    <row r="594" spans="1:1" x14ac:dyDescent="0.25">
      <c r="A594" s="4" t="s">
        <v>922</v>
      </c>
    </row>
    <row r="595" spans="1:1" x14ac:dyDescent="0.25">
      <c r="A595" s="4" t="s">
        <v>923</v>
      </c>
    </row>
    <row r="596" spans="1:1" x14ac:dyDescent="0.25">
      <c r="A596" s="4" t="s">
        <v>924</v>
      </c>
    </row>
    <row r="597" spans="1:1" x14ac:dyDescent="0.25">
      <c r="A597" s="4" t="s">
        <v>925</v>
      </c>
    </row>
    <row r="598" spans="1:1" x14ac:dyDescent="0.25">
      <c r="A598" s="4" t="s">
        <v>926</v>
      </c>
    </row>
    <row r="599" spans="1:1" x14ac:dyDescent="0.25">
      <c r="A599" s="4" t="s">
        <v>927</v>
      </c>
    </row>
    <row r="600" spans="1:1" x14ac:dyDescent="0.25">
      <c r="A600" s="4" t="s">
        <v>928</v>
      </c>
    </row>
    <row r="601" spans="1:1" x14ac:dyDescent="0.25">
      <c r="A601" s="4" t="s">
        <v>929</v>
      </c>
    </row>
    <row r="602" spans="1:1" x14ac:dyDescent="0.25">
      <c r="A602" s="4" t="s">
        <v>930</v>
      </c>
    </row>
    <row r="603" spans="1:1" x14ac:dyDescent="0.25">
      <c r="A603" s="4" t="s">
        <v>931</v>
      </c>
    </row>
    <row r="604" spans="1:1" x14ac:dyDescent="0.25">
      <c r="A604" s="4" t="s">
        <v>932</v>
      </c>
    </row>
    <row r="605" spans="1:1" x14ac:dyDescent="0.25">
      <c r="A605" s="4" t="s">
        <v>933</v>
      </c>
    </row>
    <row r="606" spans="1:1" x14ac:dyDescent="0.25">
      <c r="A606" s="4" t="s">
        <v>934</v>
      </c>
    </row>
    <row r="607" spans="1:1" x14ac:dyDescent="0.25">
      <c r="A607" s="4" t="s">
        <v>935</v>
      </c>
    </row>
    <row r="608" spans="1:1" x14ac:dyDescent="0.25">
      <c r="A608" s="4" t="s">
        <v>936</v>
      </c>
    </row>
    <row r="609" spans="1:1" x14ac:dyDescent="0.25">
      <c r="A609" s="4" t="s">
        <v>937</v>
      </c>
    </row>
    <row r="610" spans="1:1" x14ac:dyDescent="0.25">
      <c r="A610" s="4" t="s">
        <v>938</v>
      </c>
    </row>
    <row r="611" spans="1:1" x14ac:dyDescent="0.25">
      <c r="A611" s="4" t="s">
        <v>939</v>
      </c>
    </row>
    <row r="612" spans="1:1" x14ac:dyDescent="0.25">
      <c r="A612" s="4" t="s">
        <v>940</v>
      </c>
    </row>
    <row r="613" spans="1:1" x14ac:dyDescent="0.25">
      <c r="A613" s="4" t="s">
        <v>941</v>
      </c>
    </row>
    <row r="614" spans="1:1" x14ac:dyDescent="0.25">
      <c r="A614" s="4" t="s">
        <v>942</v>
      </c>
    </row>
    <row r="615" spans="1:1" x14ac:dyDescent="0.25">
      <c r="A615" s="4" t="s">
        <v>943</v>
      </c>
    </row>
    <row r="616" spans="1:1" x14ac:dyDescent="0.25">
      <c r="A616" s="4" t="s">
        <v>944</v>
      </c>
    </row>
    <row r="617" spans="1:1" x14ac:dyDescent="0.25">
      <c r="A617" s="4" t="s">
        <v>945</v>
      </c>
    </row>
    <row r="618" spans="1:1" x14ac:dyDescent="0.25">
      <c r="A618" s="4" t="s">
        <v>946</v>
      </c>
    </row>
    <row r="619" spans="1:1" x14ac:dyDescent="0.25">
      <c r="A619" s="4" t="s">
        <v>947</v>
      </c>
    </row>
    <row r="620" spans="1:1" x14ac:dyDescent="0.25">
      <c r="A620" s="4" t="s">
        <v>948</v>
      </c>
    </row>
    <row r="621" spans="1:1" x14ac:dyDescent="0.25">
      <c r="A621" s="4" t="s">
        <v>949</v>
      </c>
    </row>
    <row r="622" spans="1:1" x14ac:dyDescent="0.25">
      <c r="A622" s="4" t="s">
        <v>950</v>
      </c>
    </row>
    <row r="623" spans="1:1" x14ac:dyDescent="0.25">
      <c r="A623" s="4" t="s">
        <v>951</v>
      </c>
    </row>
    <row r="624" spans="1:1" x14ac:dyDescent="0.25">
      <c r="A624" s="4" t="s">
        <v>952</v>
      </c>
    </row>
    <row r="625" spans="1:1" x14ac:dyDescent="0.25">
      <c r="A625" s="4" t="s">
        <v>953</v>
      </c>
    </row>
    <row r="626" spans="1:1" x14ac:dyDescent="0.25">
      <c r="A626" s="4" t="s">
        <v>954</v>
      </c>
    </row>
    <row r="627" spans="1:1" x14ac:dyDescent="0.25">
      <c r="A627" s="4" t="s">
        <v>955</v>
      </c>
    </row>
    <row r="628" spans="1:1" x14ac:dyDescent="0.25">
      <c r="A628" s="4" t="s">
        <v>956</v>
      </c>
    </row>
    <row r="629" spans="1:1" x14ac:dyDescent="0.25">
      <c r="A629" s="4" t="s">
        <v>957</v>
      </c>
    </row>
    <row r="630" spans="1:1" x14ac:dyDescent="0.25">
      <c r="A630" s="4" t="s">
        <v>958</v>
      </c>
    </row>
    <row r="631" spans="1:1" x14ac:dyDescent="0.25">
      <c r="A631" s="4" t="s">
        <v>959</v>
      </c>
    </row>
    <row r="632" spans="1:1" x14ac:dyDescent="0.25">
      <c r="A632" s="4" t="s">
        <v>960</v>
      </c>
    </row>
    <row r="633" spans="1:1" x14ac:dyDescent="0.25">
      <c r="A633" s="4" t="s">
        <v>961</v>
      </c>
    </row>
    <row r="634" spans="1:1" x14ac:dyDescent="0.25">
      <c r="A634" s="4" t="s">
        <v>962</v>
      </c>
    </row>
    <row r="635" spans="1:1" x14ac:dyDescent="0.25">
      <c r="A635" s="4" t="s">
        <v>963</v>
      </c>
    </row>
    <row r="636" spans="1:1" x14ac:dyDescent="0.25">
      <c r="A636" s="4" t="s">
        <v>964</v>
      </c>
    </row>
    <row r="637" spans="1:1" x14ac:dyDescent="0.25">
      <c r="A637" s="4" t="s">
        <v>965</v>
      </c>
    </row>
    <row r="638" spans="1:1" x14ac:dyDescent="0.25">
      <c r="A638" s="4" t="s">
        <v>966</v>
      </c>
    </row>
    <row r="639" spans="1:1" x14ac:dyDescent="0.25">
      <c r="A639" s="4" t="s">
        <v>967</v>
      </c>
    </row>
    <row r="640" spans="1:1" x14ac:dyDescent="0.25">
      <c r="A640" s="4" t="s">
        <v>968</v>
      </c>
    </row>
    <row r="641" spans="1:1" x14ac:dyDescent="0.25">
      <c r="A641" s="4" t="s">
        <v>969</v>
      </c>
    </row>
    <row r="642" spans="1:1" x14ac:dyDescent="0.25">
      <c r="A642" s="4" t="s">
        <v>970</v>
      </c>
    </row>
    <row r="643" spans="1:1" x14ac:dyDescent="0.25">
      <c r="A643" s="4" t="s">
        <v>971</v>
      </c>
    </row>
    <row r="644" spans="1:1" x14ac:dyDescent="0.25">
      <c r="A644" s="4" t="s">
        <v>972</v>
      </c>
    </row>
    <row r="645" spans="1:1" x14ac:dyDescent="0.25">
      <c r="A645" s="4" t="s">
        <v>973</v>
      </c>
    </row>
    <row r="646" spans="1:1" x14ac:dyDescent="0.25">
      <c r="A646" s="4" t="s">
        <v>974</v>
      </c>
    </row>
    <row r="647" spans="1:1" x14ac:dyDescent="0.25">
      <c r="A647" s="4" t="s">
        <v>975</v>
      </c>
    </row>
    <row r="648" spans="1:1" x14ac:dyDescent="0.25">
      <c r="A648" s="4" t="s">
        <v>976</v>
      </c>
    </row>
    <row r="649" spans="1:1" x14ac:dyDescent="0.25">
      <c r="A649" s="4" t="s">
        <v>977</v>
      </c>
    </row>
    <row r="650" spans="1:1" x14ac:dyDescent="0.25">
      <c r="A650" s="4" t="s">
        <v>978</v>
      </c>
    </row>
    <row r="651" spans="1:1" x14ac:dyDescent="0.25">
      <c r="A651" s="4" t="s">
        <v>979</v>
      </c>
    </row>
    <row r="652" spans="1:1" x14ac:dyDescent="0.25">
      <c r="A652" s="4" t="s">
        <v>980</v>
      </c>
    </row>
    <row r="653" spans="1:1" x14ac:dyDescent="0.25">
      <c r="A653" s="4" t="s">
        <v>981</v>
      </c>
    </row>
    <row r="654" spans="1:1" x14ac:dyDescent="0.25">
      <c r="A654" s="4" t="s">
        <v>982</v>
      </c>
    </row>
    <row r="655" spans="1:1" x14ac:dyDescent="0.25">
      <c r="A655" s="4" t="s">
        <v>983</v>
      </c>
    </row>
    <row r="656" spans="1:1" x14ac:dyDescent="0.25">
      <c r="A656" s="4" t="s">
        <v>984</v>
      </c>
    </row>
    <row r="657" spans="1:1" x14ac:dyDescent="0.25">
      <c r="A657" s="4" t="s">
        <v>985</v>
      </c>
    </row>
    <row r="658" spans="1:1" x14ac:dyDescent="0.25">
      <c r="A658" s="4" t="s">
        <v>986</v>
      </c>
    </row>
    <row r="659" spans="1:1" x14ac:dyDescent="0.25">
      <c r="A659" s="4" t="s">
        <v>987</v>
      </c>
    </row>
    <row r="660" spans="1:1" x14ac:dyDescent="0.25">
      <c r="A660" s="4" t="s">
        <v>988</v>
      </c>
    </row>
    <row r="661" spans="1:1" x14ac:dyDescent="0.25">
      <c r="A661" s="4" t="s">
        <v>989</v>
      </c>
    </row>
    <row r="662" spans="1:1" x14ac:dyDescent="0.25">
      <c r="A662" s="4" t="s">
        <v>990</v>
      </c>
    </row>
    <row r="663" spans="1:1" x14ac:dyDescent="0.25">
      <c r="A663" s="4" t="s">
        <v>991</v>
      </c>
    </row>
    <row r="664" spans="1:1" x14ac:dyDescent="0.25">
      <c r="A664" s="4" t="s">
        <v>992</v>
      </c>
    </row>
    <row r="665" spans="1:1" x14ac:dyDescent="0.25">
      <c r="A665" s="4" t="s">
        <v>993</v>
      </c>
    </row>
    <row r="666" spans="1:1" x14ac:dyDescent="0.25">
      <c r="A666" s="4" t="s">
        <v>994</v>
      </c>
    </row>
    <row r="667" spans="1:1" x14ac:dyDescent="0.25">
      <c r="A667" s="4" t="s">
        <v>995</v>
      </c>
    </row>
    <row r="668" spans="1:1" x14ac:dyDescent="0.25">
      <c r="A668" s="4" t="s">
        <v>996</v>
      </c>
    </row>
    <row r="669" spans="1:1" x14ac:dyDescent="0.25">
      <c r="A669" s="4" t="s">
        <v>997</v>
      </c>
    </row>
    <row r="670" spans="1:1" x14ac:dyDescent="0.25">
      <c r="A670" s="4" t="s">
        <v>998</v>
      </c>
    </row>
    <row r="671" spans="1:1" x14ac:dyDescent="0.25">
      <c r="A671" s="4" t="s">
        <v>999</v>
      </c>
    </row>
    <row r="672" spans="1:1" x14ac:dyDescent="0.25">
      <c r="A672" s="4" t="s">
        <v>1000</v>
      </c>
    </row>
    <row r="673" spans="1:1" x14ac:dyDescent="0.25">
      <c r="A673" s="4" t="s">
        <v>1001</v>
      </c>
    </row>
    <row r="674" spans="1:1" x14ac:dyDescent="0.25">
      <c r="A674" s="4" t="s">
        <v>1002</v>
      </c>
    </row>
    <row r="675" spans="1:1" x14ac:dyDescent="0.25">
      <c r="A675" s="4" t="s">
        <v>1003</v>
      </c>
    </row>
    <row r="676" spans="1:1" x14ac:dyDescent="0.25">
      <c r="A676" s="4" t="s">
        <v>1004</v>
      </c>
    </row>
    <row r="677" spans="1:1" x14ac:dyDescent="0.25">
      <c r="A677" s="4" t="s">
        <v>1005</v>
      </c>
    </row>
    <row r="678" spans="1:1" x14ac:dyDescent="0.25">
      <c r="A678" s="4" t="s">
        <v>1006</v>
      </c>
    </row>
    <row r="679" spans="1:1" x14ac:dyDescent="0.25">
      <c r="A679" s="4" t="s">
        <v>1007</v>
      </c>
    </row>
    <row r="680" spans="1:1" x14ac:dyDescent="0.25">
      <c r="A680" s="4" t="s">
        <v>1008</v>
      </c>
    </row>
    <row r="681" spans="1:1" x14ac:dyDescent="0.25">
      <c r="A681" s="4" t="s">
        <v>1009</v>
      </c>
    </row>
    <row r="682" spans="1:1" x14ac:dyDescent="0.25">
      <c r="A682" s="4" t="s">
        <v>1010</v>
      </c>
    </row>
    <row r="683" spans="1:1" x14ac:dyDescent="0.25">
      <c r="A683" s="4" t="s">
        <v>1011</v>
      </c>
    </row>
    <row r="684" spans="1:1" x14ac:dyDescent="0.25">
      <c r="A684" s="4" t="s">
        <v>1012</v>
      </c>
    </row>
    <row r="685" spans="1:1" x14ac:dyDescent="0.25">
      <c r="A685" s="4" t="s">
        <v>1013</v>
      </c>
    </row>
    <row r="686" spans="1:1" x14ac:dyDescent="0.25">
      <c r="A686" s="4" t="s">
        <v>1014</v>
      </c>
    </row>
    <row r="687" spans="1:1" x14ac:dyDescent="0.25">
      <c r="A687" s="4" t="s">
        <v>1015</v>
      </c>
    </row>
    <row r="688" spans="1:1" x14ac:dyDescent="0.25">
      <c r="A688" s="4" t="s">
        <v>1016</v>
      </c>
    </row>
    <row r="689" spans="1:1" x14ac:dyDescent="0.25">
      <c r="A689" s="4" t="s">
        <v>1017</v>
      </c>
    </row>
    <row r="690" spans="1:1" x14ac:dyDescent="0.25">
      <c r="A690" s="4" t="s">
        <v>1018</v>
      </c>
    </row>
    <row r="691" spans="1:1" x14ac:dyDescent="0.25">
      <c r="A691" s="4" t="s">
        <v>1019</v>
      </c>
    </row>
    <row r="692" spans="1:1" x14ac:dyDescent="0.25">
      <c r="A692" s="4" t="s">
        <v>1020</v>
      </c>
    </row>
    <row r="693" spans="1:1" x14ac:dyDescent="0.25">
      <c r="A693" s="4" t="s">
        <v>1021</v>
      </c>
    </row>
    <row r="694" spans="1:1" x14ac:dyDescent="0.25">
      <c r="A694" s="4" t="s">
        <v>1022</v>
      </c>
    </row>
    <row r="695" spans="1:1" x14ac:dyDescent="0.25">
      <c r="A695" s="4" t="s">
        <v>1023</v>
      </c>
    </row>
    <row r="696" spans="1:1" x14ac:dyDescent="0.25">
      <c r="A696" s="4" t="s">
        <v>1024</v>
      </c>
    </row>
    <row r="697" spans="1:1" x14ac:dyDescent="0.25">
      <c r="A697" s="4" t="s">
        <v>1025</v>
      </c>
    </row>
    <row r="698" spans="1:1" x14ac:dyDescent="0.25">
      <c r="A698" s="4" t="s">
        <v>1026</v>
      </c>
    </row>
    <row r="699" spans="1:1" x14ac:dyDescent="0.25">
      <c r="A699" s="4" t="s">
        <v>1027</v>
      </c>
    </row>
    <row r="700" spans="1:1" x14ac:dyDescent="0.25">
      <c r="A700" s="4" t="s">
        <v>1028</v>
      </c>
    </row>
    <row r="701" spans="1:1" x14ac:dyDescent="0.25">
      <c r="A701" s="4" t="s">
        <v>1029</v>
      </c>
    </row>
    <row r="702" spans="1:1" x14ac:dyDescent="0.25">
      <c r="A702" s="4" t="s">
        <v>1030</v>
      </c>
    </row>
    <row r="703" spans="1:1" x14ac:dyDescent="0.25">
      <c r="A703" s="4" t="s">
        <v>1031</v>
      </c>
    </row>
    <row r="704" spans="1:1" x14ac:dyDescent="0.25">
      <c r="A704" s="4" t="s">
        <v>1032</v>
      </c>
    </row>
    <row r="705" spans="1:1" x14ac:dyDescent="0.25">
      <c r="A705" s="4" t="s">
        <v>1033</v>
      </c>
    </row>
    <row r="706" spans="1:1" x14ac:dyDescent="0.25">
      <c r="A706" s="4" t="s">
        <v>1034</v>
      </c>
    </row>
    <row r="707" spans="1:1" x14ac:dyDescent="0.25">
      <c r="A707" s="4" t="s">
        <v>1035</v>
      </c>
    </row>
    <row r="708" spans="1:1" x14ac:dyDescent="0.25">
      <c r="A708" s="4" t="s">
        <v>1036</v>
      </c>
    </row>
    <row r="709" spans="1:1" x14ac:dyDescent="0.25">
      <c r="A709" s="4" t="s">
        <v>1037</v>
      </c>
    </row>
    <row r="710" spans="1:1" x14ac:dyDescent="0.25">
      <c r="A710" s="4" t="s">
        <v>1038</v>
      </c>
    </row>
    <row r="711" spans="1:1" x14ac:dyDescent="0.25">
      <c r="A711" s="4" t="s">
        <v>1039</v>
      </c>
    </row>
    <row r="712" spans="1:1" x14ac:dyDescent="0.25">
      <c r="A712" s="4" t="s">
        <v>1040</v>
      </c>
    </row>
    <row r="713" spans="1:1" x14ac:dyDescent="0.25">
      <c r="A713" s="4" t="s">
        <v>1041</v>
      </c>
    </row>
    <row r="714" spans="1:1" x14ac:dyDescent="0.25">
      <c r="A714" s="4" t="s">
        <v>1042</v>
      </c>
    </row>
    <row r="715" spans="1:1" x14ac:dyDescent="0.25">
      <c r="A715" s="4" t="s">
        <v>1043</v>
      </c>
    </row>
    <row r="716" spans="1:1" x14ac:dyDescent="0.25">
      <c r="A716" s="4" t="s">
        <v>1044</v>
      </c>
    </row>
    <row r="717" spans="1:1" x14ac:dyDescent="0.25">
      <c r="A717" s="4" t="s">
        <v>1045</v>
      </c>
    </row>
    <row r="718" spans="1:1" x14ac:dyDescent="0.25">
      <c r="A718" s="4" t="s">
        <v>1046</v>
      </c>
    </row>
    <row r="719" spans="1:1" x14ac:dyDescent="0.25">
      <c r="A719" s="4" t="s">
        <v>1047</v>
      </c>
    </row>
    <row r="720" spans="1:1" x14ac:dyDescent="0.25">
      <c r="A720" s="4" t="s">
        <v>1048</v>
      </c>
    </row>
    <row r="721" spans="1:1" x14ac:dyDescent="0.25">
      <c r="A721" s="4" t="s">
        <v>1049</v>
      </c>
    </row>
    <row r="722" spans="1:1" x14ac:dyDescent="0.25">
      <c r="A722" s="4" t="s">
        <v>1050</v>
      </c>
    </row>
    <row r="723" spans="1:1" x14ac:dyDescent="0.25">
      <c r="A723" s="4" t="s">
        <v>1051</v>
      </c>
    </row>
    <row r="724" spans="1:1" x14ac:dyDescent="0.25">
      <c r="A724" s="4" t="s">
        <v>1052</v>
      </c>
    </row>
    <row r="725" spans="1:1" x14ac:dyDescent="0.25">
      <c r="A725" s="4" t="s">
        <v>1053</v>
      </c>
    </row>
    <row r="726" spans="1:1" x14ac:dyDescent="0.25">
      <c r="A726" s="4" t="s">
        <v>1054</v>
      </c>
    </row>
    <row r="727" spans="1:1" x14ac:dyDescent="0.25">
      <c r="A727" s="4" t="s">
        <v>1055</v>
      </c>
    </row>
    <row r="728" spans="1:1" x14ac:dyDescent="0.25">
      <c r="A728" s="4" t="s">
        <v>1056</v>
      </c>
    </row>
    <row r="729" spans="1:1" x14ac:dyDescent="0.25">
      <c r="A729" s="4" t="s">
        <v>1057</v>
      </c>
    </row>
    <row r="730" spans="1:1" x14ac:dyDescent="0.25">
      <c r="A730" s="4" t="s">
        <v>1058</v>
      </c>
    </row>
    <row r="731" spans="1:1" x14ac:dyDescent="0.25">
      <c r="A731" s="4" t="s">
        <v>1059</v>
      </c>
    </row>
    <row r="732" spans="1:1" x14ac:dyDescent="0.25">
      <c r="A732" s="4" t="s">
        <v>1060</v>
      </c>
    </row>
    <row r="733" spans="1:1" x14ac:dyDescent="0.25">
      <c r="A733" s="4" t="s">
        <v>1061</v>
      </c>
    </row>
    <row r="734" spans="1:1" x14ac:dyDescent="0.25">
      <c r="A734" s="4" t="s">
        <v>1062</v>
      </c>
    </row>
    <row r="735" spans="1:1" x14ac:dyDescent="0.25">
      <c r="A735" s="4" t="s">
        <v>1063</v>
      </c>
    </row>
    <row r="736" spans="1:1" x14ac:dyDescent="0.25">
      <c r="A736" s="4" t="s">
        <v>1064</v>
      </c>
    </row>
    <row r="737" spans="1:1" x14ac:dyDescent="0.25">
      <c r="A737" s="4" t="s">
        <v>1065</v>
      </c>
    </row>
    <row r="738" spans="1:1" x14ac:dyDescent="0.25">
      <c r="A738" s="4" t="s">
        <v>1066</v>
      </c>
    </row>
    <row r="739" spans="1:1" x14ac:dyDescent="0.25">
      <c r="A739" s="4" t="s">
        <v>1067</v>
      </c>
    </row>
    <row r="740" spans="1:1" x14ac:dyDescent="0.25">
      <c r="A740" s="4" t="s">
        <v>1068</v>
      </c>
    </row>
    <row r="741" spans="1:1" x14ac:dyDescent="0.25">
      <c r="A741" s="4" t="s">
        <v>1069</v>
      </c>
    </row>
    <row r="742" spans="1:1" x14ac:dyDescent="0.25">
      <c r="A742" s="4" t="s">
        <v>1070</v>
      </c>
    </row>
    <row r="743" spans="1:1" x14ac:dyDescent="0.25">
      <c r="A743" s="4" t="s">
        <v>1071</v>
      </c>
    </row>
    <row r="744" spans="1:1" x14ac:dyDescent="0.25">
      <c r="A744" s="4" t="s">
        <v>1072</v>
      </c>
    </row>
    <row r="745" spans="1:1" x14ac:dyDescent="0.25">
      <c r="A745" s="4" t="s">
        <v>1073</v>
      </c>
    </row>
    <row r="746" spans="1:1" x14ac:dyDescent="0.25">
      <c r="A746" s="4" t="s">
        <v>1074</v>
      </c>
    </row>
    <row r="747" spans="1:1" x14ac:dyDescent="0.25">
      <c r="A747" s="4" t="s">
        <v>1075</v>
      </c>
    </row>
    <row r="748" spans="1:1" x14ac:dyDescent="0.25">
      <c r="A748" s="4" t="s">
        <v>1076</v>
      </c>
    </row>
    <row r="749" spans="1:1" x14ac:dyDescent="0.25">
      <c r="A749" s="4" t="s">
        <v>1077</v>
      </c>
    </row>
    <row r="750" spans="1:1" x14ac:dyDescent="0.25">
      <c r="A750" s="4" t="s">
        <v>1078</v>
      </c>
    </row>
    <row r="751" spans="1:1" x14ac:dyDescent="0.25">
      <c r="A751" s="4" t="s">
        <v>1079</v>
      </c>
    </row>
    <row r="752" spans="1:1" x14ac:dyDescent="0.25">
      <c r="A752" s="4" t="s">
        <v>1080</v>
      </c>
    </row>
    <row r="753" spans="1:1" x14ac:dyDescent="0.25">
      <c r="A753" s="4" t="s">
        <v>1081</v>
      </c>
    </row>
    <row r="754" spans="1:1" x14ac:dyDescent="0.25">
      <c r="A754" s="4" t="s">
        <v>1082</v>
      </c>
    </row>
    <row r="755" spans="1:1" x14ac:dyDescent="0.25">
      <c r="A755" s="4" t="s">
        <v>1083</v>
      </c>
    </row>
    <row r="756" spans="1:1" x14ac:dyDescent="0.25">
      <c r="A756" s="4" t="s">
        <v>1084</v>
      </c>
    </row>
    <row r="757" spans="1:1" x14ac:dyDescent="0.25">
      <c r="A757" s="4" t="s">
        <v>1085</v>
      </c>
    </row>
    <row r="758" spans="1:1" x14ac:dyDescent="0.25">
      <c r="A758" s="4" t="s">
        <v>1086</v>
      </c>
    </row>
    <row r="759" spans="1:1" x14ac:dyDescent="0.25">
      <c r="A759" s="4" t="s">
        <v>1087</v>
      </c>
    </row>
    <row r="760" spans="1:1" x14ac:dyDescent="0.25">
      <c r="A760" s="4" t="s">
        <v>1088</v>
      </c>
    </row>
    <row r="761" spans="1:1" x14ac:dyDescent="0.25">
      <c r="A761" s="4" t="s">
        <v>1089</v>
      </c>
    </row>
    <row r="762" spans="1:1" x14ac:dyDescent="0.25">
      <c r="A762" s="4" t="s">
        <v>1090</v>
      </c>
    </row>
    <row r="763" spans="1:1" x14ac:dyDescent="0.25">
      <c r="A763" s="4" t="s">
        <v>1091</v>
      </c>
    </row>
    <row r="764" spans="1:1" x14ac:dyDescent="0.25">
      <c r="A764" s="4" t="s">
        <v>1092</v>
      </c>
    </row>
    <row r="765" spans="1:1" x14ac:dyDescent="0.25">
      <c r="A765" s="4" t="s">
        <v>1093</v>
      </c>
    </row>
    <row r="766" spans="1:1" x14ac:dyDescent="0.25">
      <c r="A766" s="4" t="s">
        <v>1094</v>
      </c>
    </row>
    <row r="767" spans="1:1" x14ac:dyDescent="0.25">
      <c r="A767" s="4" t="s">
        <v>1095</v>
      </c>
    </row>
    <row r="768" spans="1:1" x14ac:dyDescent="0.25">
      <c r="A768" s="4" t="s">
        <v>1096</v>
      </c>
    </row>
    <row r="769" spans="1:1" x14ac:dyDescent="0.25">
      <c r="A769" s="4" t="s">
        <v>1097</v>
      </c>
    </row>
    <row r="770" spans="1:1" x14ac:dyDescent="0.25">
      <c r="A770" s="4" t="s">
        <v>1098</v>
      </c>
    </row>
    <row r="771" spans="1:1" x14ac:dyDescent="0.25">
      <c r="A771" s="4" t="s">
        <v>1099</v>
      </c>
    </row>
    <row r="772" spans="1:1" x14ac:dyDescent="0.25">
      <c r="A772" s="4" t="s">
        <v>1100</v>
      </c>
    </row>
    <row r="773" spans="1:1" x14ac:dyDescent="0.25">
      <c r="A773" s="4" t="s">
        <v>1101</v>
      </c>
    </row>
    <row r="774" spans="1:1" x14ac:dyDescent="0.25">
      <c r="A774" s="4" t="s">
        <v>1102</v>
      </c>
    </row>
    <row r="775" spans="1:1" x14ac:dyDescent="0.25">
      <c r="A775" s="4" t="s">
        <v>1103</v>
      </c>
    </row>
    <row r="776" spans="1:1" x14ac:dyDescent="0.25">
      <c r="A776" s="4" t="s">
        <v>1104</v>
      </c>
    </row>
    <row r="777" spans="1:1" x14ac:dyDescent="0.25">
      <c r="A777" s="4" t="s">
        <v>1105</v>
      </c>
    </row>
    <row r="778" spans="1:1" x14ac:dyDescent="0.25">
      <c r="A778" s="4" t="s">
        <v>1106</v>
      </c>
    </row>
    <row r="779" spans="1:1" x14ac:dyDescent="0.25">
      <c r="A779" s="4" t="s">
        <v>1107</v>
      </c>
    </row>
    <row r="780" spans="1:1" x14ac:dyDescent="0.25">
      <c r="A780" s="4" t="s">
        <v>1108</v>
      </c>
    </row>
    <row r="781" spans="1:1" x14ac:dyDescent="0.25">
      <c r="A781" s="4" t="s">
        <v>1109</v>
      </c>
    </row>
    <row r="782" spans="1:1" x14ac:dyDescent="0.25">
      <c r="A782" s="4" t="s">
        <v>1110</v>
      </c>
    </row>
    <row r="783" spans="1:1" x14ac:dyDescent="0.25">
      <c r="A783" s="4" t="s">
        <v>1111</v>
      </c>
    </row>
    <row r="784" spans="1:1" x14ac:dyDescent="0.25">
      <c r="A784" s="4" t="s">
        <v>1112</v>
      </c>
    </row>
    <row r="785" spans="1:1" x14ac:dyDescent="0.25">
      <c r="A785" s="4" t="s">
        <v>1113</v>
      </c>
    </row>
    <row r="786" spans="1:1" x14ac:dyDescent="0.25">
      <c r="A786" s="4" t="s">
        <v>1114</v>
      </c>
    </row>
    <row r="787" spans="1:1" x14ac:dyDescent="0.25">
      <c r="A787" s="4" t="s">
        <v>1115</v>
      </c>
    </row>
    <row r="788" spans="1:1" x14ac:dyDescent="0.25">
      <c r="A788" s="4" t="s">
        <v>1116</v>
      </c>
    </row>
    <row r="789" spans="1:1" x14ac:dyDescent="0.25">
      <c r="A789" s="4" t="s">
        <v>1117</v>
      </c>
    </row>
    <row r="790" spans="1:1" x14ac:dyDescent="0.25">
      <c r="A790" s="4" t="s">
        <v>1118</v>
      </c>
    </row>
    <row r="791" spans="1:1" x14ac:dyDescent="0.25">
      <c r="A791" s="4" t="s">
        <v>1119</v>
      </c>
    </row>
    <row r="792" spans="1:1" x14ac:dyDescent="0.25">
      <c r="A792" s="4" t="s">
        <v>1120</v>
      </c>
    </row>
    <row r="793" spans="1:1" x14ac:dyDescent="0.25">
      <c r="A793" s="4" t="s">
        <v>1121</v>
      </c>
    </row>
    <row r="794" spans="1:1" x14ac:dyDescent="0.25">
      <c r="A794" s="4" t="s">
        <v>1122</v>
      </c>
    </row>
    <row r="795" spans="1:1" x14ac:dyDescent="0.25">
      <c r="A795" s="4" t="s">
        <v>1123</v>
      </c>
    </row>
    <row r="796" spans="1:1" x14ac:dyDescent="0.25">
      <c r="A796" s="4" t="s">
        <v>1124</v>
      </c>
    </row>
    <row r="797" spans="1:1" x14ac:dyDescent="0.25">
      <c r="A797" s="4" t="s">
        <v>1125</v>
      </c>
    </row>
    <row r="798" spans="1:1" x14ac:dyDescent="0.25">
      <c r="A798" s="4" t="s">
        <v>1126</v>
      </c>
    </row>
    <row r="799" spans="1:1" x14ac:dyDescent="0.25">
      <c r="A799" s="4" t="s">
        <v>1127</v>
      </c>
    </row>
    <row r="800" spans="1:1" x14ac:dyDescent="0.25">
      <c r="A800" s="4" t="s">
        <v>1128</v>
      </c>
    </row>
    <row r="801" spans="1:1" x14ac:dyDescent="0.25">
      <c r="A801" s="4" t="s">
        <v>1129</v>
      </c>
    </row>
    <row r="802" spans="1:1" x14ac:dyDescent="0.25">
      <c r="A802" s="4" t="s">
        <v>1130</v>
      </c>
    </row>
    <row r="803" spans="1:1" x14ac:dyDescent="0.25">
      <c r="A803" s="4" t="s">
        <v>1131</v>
      </c>
    </row>
    <row r="804" spans="1:1" x14ac:dyDescent="0.25">
      <c r="A804" s="4" t="s">
        <v>1132</v>
      </c>
    </row>
    <row r="805" spans="1:1" x14ac:dyDescent="0.25">
      <c r="A805" s="4" t="s">
        <v>1133</v>
      </c>
    </row>
    <row r="806" spans="1:1" x14ac:dyDescent="0.25">
      <c r="A806" s="4" t="s">
        <v>1134</v>
      </c>
    </row>
    <row r="807" spans="1:1" x14ac:dyDescent="0.25">
      <c r="A807" s="4" t="s">
        <v>1135</v>
      </c>
    </row>
    <row r="808" spans="1:1" x14ac:dyDescent="0.25">
      <c r="A808" s="4" t="s">
        <v>1136</v>
      </c>
    </row>
    <row r="809" spans="1:1" x14ac:dyDescent="0.25">
      <c r="A809" s="4" t="s">
        <v>1137</v>
      </c>
    </row>
    <row r="810" spans="1:1" x14ac:dyDescent="0.25">
      <c r="A810" s="4" t="s">
        <v>1138</v>
      </c>
    </row>
    <row r="811" spans="1:1" x14ac:dyDescent="0.25">
      <c r="A811" s="4" t="s">
        <v>1139</v>
      </c>
    </row>
    <row r="812" spans="1:1" x14ac:dyDescent="0.25">
      <c r="A812" s="4" t="s">
        <v>1140</v>
      </c>
    </row>
    <row r="813" spans="1:1" x14ac:dyDescent="0.25">
      <c r="A813" s="4" t="s">
        <v>1141</v>
      </c>
    </row>
    <row r="814" spans="1:1" x14ac:dyDescent="0.25">
      <c r="A814" s="4" t="s">
        <v>1142</v>
      </c>
    </row>
    <row r="815" spans="1:1" x14ac:dyDescent="0.25">
      <c r="A815" s="4" t="s">
        <v>1143</v>
      </c>
    </row>
    <row r="816" spans="1:1" x14ac:dyDescent="0.25">
      <c r="A816" s="4" t="s">
        <v>1144</v>
      </c>
    </row>
    <row r="817" spans="1:1" x14ac:dyDescent="0.25">
      <c r="A817" s="4" t="s">
        <v>1145</v>
      </c>
    </row>
    <row r="818" spans="1:1" x14ac:dyDescent="0.25">
      <c r="A818" s="4" t="s">
        <v>1146</v>
      </c>
    </row>
    <row r="819" spans="1:1" x14ac:dyDescent="0.25">
      <c r="A819" s="4" t="s">
        <v>1147</v>
      </c>
    </row>
    <row r="820" spans="1:1" x14ac:dyDescent="0.25">
      <c r="A820" s="4" t="s">
        <v>1148</v>
      </c>
    </row>
    <row r="821" spans="1:1" x14ac:dyDescent="0.25">
      <c r="A821" s="4" t="s">
        <v>1149</v>
      </c>
    </row>
    <row r="822" spans="1:1" x14ac:dyDescent="0.25">
      <c r="A822" s="4" t="s">
        <v>1150</v>
      </c>
    </row>
    <row r="823" spans="1:1" x14ac:dyDescent="0.25">
      <c r="A823" s="4" t="s">
        <v>1151</v>
      </c>
    </row>
    <row r="824" spans="1:1" x14ac:dyDescent="0.25">
      <c r="A824" s="4" t="s">
        <v>1152</v>
      </c>
    </row>
    <row r="825" spans="1:1" x14ac:dyDescent="0.25">
      <c r="A825" s="4" t="s">
        <v>1153</v>
      </c>
    </row>
    <row r="826" spans="1:1" x14ac:dyDescent="0.25">
      <c r="A826" s="4" t="s">
        <v>1154</v>
      </c>
    </row>
    <row r="827" spans="1:1" x14ac:dyDescent="0.25">
      <c r="A827" s="4" t="s">
        <v>1155</v>
      </c>
    </row>
    <row r="828" spans="1:1" x14ac:dyDescent="0.25">
      <c r="A828" s="4" t="s">
        <v>1156</v>
      </c>
    </row>
    <row r="829" spans="1:1" x14ac:dyDescent="0.25">
      <c r="A829" s="4" t="s">
        <v>1157</v>
      </c>
    </row>
    <row r="830" spans="1:1" x14ac:dyDescent="0.25">
      <c r="A830" s="4" t="s">
        <v>1158</v>
      </c>
    </row>
    <row r="831" spans="1:1" x14ac:dyDescent="0.25">
      <c r="A831" s="4" t="s">
        <v>1159</v>
      </c>
    </row>
    <row r="832" spans="1:1" x14ac:dyDescent="0.25">
      <c r="A832" s="4" t="s">
        <v>1160</v>
      </c>
    </row>
    <row r="833" spans="1:1" x14ac:dyDescent="0.25">
      <c r="A833" s="4" t="s">
        <v>1161</v>
      </c>
    </row>
    <row r="834" spans="1:1" x14ac:dyDescent="0.25">
      <c r="A834" s="4" t="s">
        <v>1162</v>
      </c>
    </row>
    <row r="835" spans="1:1" x14ac:dyDescent="0.25">
      <c r="A835" s="4" t="s">
        <v>1163</v>
      </c>
    </row>
    <row r="836" spans="1:1" x14ac:dyDescent="0.25">
      <c r="A836" s="4" t="s">
        <v>1164</v>
      </c>
    </row>
    <row r="837" spans="1:1" x14ac:dyDescent="0.25">
      <c r="A837" s="4" t="s">
        <v>1165</v>
      </c>
    </row>
    <row r="838" spans="1:1" x14ac:dyDescent="0.25">
      <c r="A838" s="4" t="s">
        <v>1166</v>
      </c>
    </row>
    <row r="839" spans="1:1" x14ac:dyDescent="0.25">
      <c r="A839" s="4" t="s">
        <v>1167</v>
      </c>
    </row>
    <row r="840" spans="1:1" x14ac:dyDescent="0.25">
      <c r="A840" s="4" t="s">
        <v>1168</v>
      </c>
    </row>
    <row r="841" spans="1:1" x14ac:dyDescent="0.25">
      <c r="A841" s="4" t="s">
        <v>1169</v>
      </c>
    </row>
    <row r="842" spans="1:1" x14ac:dyDescent="0.25">
      <c r="A842" s="4" t="s">
        <v>1170</v>
      </c>
    </row>
    <row r="843" spans="1:1" x14ac:dyDescent="0.25">
      <c r="A843" s="4" t="s">
        <v>1171</v>
      </c>
    </row>
    <row r="844" spans="1:1" x14ac:dyDescent="0.25">
      <c r="A844" s="4" t="s">
        <v>1172</v>
      </c>
    </row>
    <row r="845" spans="1:1" x14ac:dyDescent="0.25">
      <c r="A845" s="4" t="s">
        <v>1173</v>
      </c>
    </row>
    <row r="846" spans="1:1" x14ac:dyDescent="0.25">
      <c r="A846" s="4" t="s">
        <v>1174</v>
      </c>
    </row>
    <row r="847" spans="1:1" x14ac:dyDescent="0.25">
      <c r="A847" s="4" t="s">
        <v>1175</v>
      </c>
    </row>
    <row r="848" spans="1:1" x14ac:dyDescent="0.25">
      <c r="A848" s="4" t="s">
        <v>1176</v>
      </c>
    </row>
    <row r="849" spans="1:1" x14ac:dyDescent="0.25">
      <c r="A849" s="4" t="s">
        <v>1177</v>
      </c>
    </row>
    <row r="850" spans="1:1" x14ac:dyDescent="0.25">
      <c r="A850" s="4" t="s">
        <v>1178</v>
      </c>
    </row>
    <row r="851" spans="1:1" x14ac:dyDescent="0.25">
      <c r="A851" s="4" t="s">
        <v>1179</v>
      </c>
    </row>
    <row r="852" spans="1:1" x14ac:dyDescent="0.25">
      <c r="A852" s="4" t="s">
        <v>1180</v>
      </c>
    </row>
    <row r="853" spans="1:1" x14ac:dyDescent="0.25">
      <c r="A853" s="4" t="s">
        <v>1181</v>
      </c>
    </row>
    <row r="854" spans="1:1" x14ac:dyDescent="0.25">
      <c r="A854" s="4" t="s">
        <v>1182</v>
      </c>
    </row>
    <row r="855" spans="1:1" x14ac:dyDescent="0.25">
      <c r="A855" s="4" t="s">
        <v>1183</v>
      </c>
    </row>
    <row r="856" spans="1:1" x14ac:dyDescent="0.25">
      <c r="A856" s="4" t="s">
        <v>1184</v>
      </c>
    </row>
    <row r="857" spans="1:1" x14ac:dyDescent="0.25">
      <c r="A857" s="4" t="s">
        <v>1185</v>
      </c>
    </row>
    <row r="858" spans="1:1" x14ac:dyDescent="0.25">
      <c r="A858" s="4" t="s">
        <v>1186</v>
      </c>
    </row>
    <row r="859" spans="1:1" x14ac:dyDescent="0.25">
      <c r="A859" s="4" t="s">
        <v>1187</v>
      </c>
    </row>
    <row r="860" spans="1:1" x14ac:dyDescent="0.25">
      <c r="A860" s="4" t="s">
        <v>1188</v>
      </c>
    </row>
    <row r="861" spans="1:1" x14ac:dyDescent="0.25">
      <c r="A861" s="4" t="s">
        <v>1189</v>
      </c>
    </row>
    <row r="862" spans="1:1" x14ac:dyDescent="0.25">
      <c r="A862" s="4" t="s">
        <v>1190</v>
      </c>
    </row>
    <row r="863" spans="1:1" x14ac:dyDescent="0.25">
      <c r="A863" s="4" t="s">
        <v>1191</v>
      </c>
    </row>
    <row r="864" spans="1:1" x14ac:dyDescent="0.25">
      <c r="A864" s="4" t="s">
        <v>1192</v>
      </c>
    </row>
    <row r="865" spans="1:1" x14ac:dyDescent="0.25">
      <c r="A865" s="4" t="s">
        <v>1193</v>
      </c>
    </row>
    <row r="866" spans="1:1" x14ac:dyDescent="0.25">
      <c r="A866" s="4" t="s">
        <v>1194</v>
      </c>
    </row>
    <row r="867" spans="1:1" x14ac:dyDescent="0.25">
      <c r="A867" s="4" t="s">
        <v>1195</v>
      </c>
    </row>
    <row r="868" spans="1:1" x14ac:dyDescent="0.25">
      <c r="A868" s="4" t="s">
        <v>1196</v>
      </c>
    </row>
    <row r="869" spans="1:1" x14ac:dyDescent="0.25">
      <c r="A869" s="4" t="s">
        <v>1197</v>
      </c>
    </row>
    <row r="870" spans="1:1" x14ac:dyDescent="0.25">
      <c r="A870" s="4" t="s">
        <v>1198</v>
      </c>
    </row>
    <row r="871" spans="1:1" x14ac:dyDescent="0.25">
      <c r="A871" s="4" t="s">
        <v>1199</v>
      </c>
    </row>
    <row r="872" spans="1:1" x14ac:dyDescent="0.25">
      <c r="A872" s="4" t="s">
        <v>1200</v>
      </c>
    </row>
    <row r="873" spans="1:1" x14ac:dyDescent="0.25">
      <c r="A873" s="4" t="s">
        <v>1201</v>
      </c>
    </row>
    <row r="874" spans="1:1" x14ac:dyDescent="0.25">
      <c r="A874" s="4" t="s">
        <v>1202</v>
      </c>
    </row>
    <row r="875" spans="1:1" x14ac:dyDescent="0.25">
      <c r="A875" s="4" t="s">
        <v>1203</v>
      </c>
    </row>
    <row r="876" spans="1:1" x14ac:dyDescent="0.25">
      <c r="A876" s="4" t="s">
        <v>1204</v>
      </c>
    </row>
    <row r="877" spans="1:1" x14ac:dyDescent="0.25">
      <c r="A877" s="4" t="s">
        <v>1205</v>
      </c>
    </row>
    <row r="878" spans="1:1" x14ac:dyDescent="0.25">
      <c r="A878" s="4" t="s">
        <v>1206</v>
      </c>
    </row>
    <row r="879" spans="1:1" x14ac:dyDescent="0.25">
      <c r="A879" s="4" t="s">
        <v>1207</v>
      </c>
    </row>
    <row r="880" spans="1:1" x14ac:dyDescent="0.25">
      <c r="A880" s="4" t="s">
        <v>1208</v>
      </c>
    </row>
    <row r="881" spans="1:1" x14ac:dyDescent="0.25">
      <c r="A881" s="4" t="s">
        <v>1209</v>
      </c>
    </row>
    <row r="882" spans="1:1" x14ac:dyDescent="0.25">
      <c r="A882" s="4" t="s">
        <v>1210</v>
      </c>
    </row>
    <row r="883" spans="1:1" x14ac:dyDescent="0.25">
      <c r="A883" s="4" t="s">
        <v>1211</v>
      </c>
    </row>
    <row r="884" spans="1:1" x14ac:dyDescent="0.25">
      <c r="A884" s="4" t="s">
        <v>1212</v>
      </c>
    </row>
    <row r="885" spans="1:1" x14ac:dyDescent="0.25">
      <c r="A885" s="4" t="s">
        <v>1213</v>
      </c>
    </row>
    <row r="886" spans="1:1" x14ac:dyDescent="0.25">
      <c r="A886" s="4" t="s">
        <v>1214</v>
      </c>
    </row>
    <row r="887" spans="1:1" x14ac:dyDescent="0.25">
      <c r="A887" s="4" t="s">
        <v>1215</v>
      </c>
    </row>
    <row r="888" spans="1:1" x14ac:dyDescent="0.25">
      <c r="A888" s="4" t="s">
        <v>1216</v>
      </c>
    </row>
    <row r="889" spans="1:1" x14ac:dyDescent="0.25">
      <c r="A889" s="4" t="s">
        <v>1217</v>
      </c>
    </row>
    <row r="890" spans="1:1" x14ac:dyDescent="0.25">
      <c r="A890" s="4" t="s">
        <v>1218</v>
      </c>
    </row>
    <row r="891" spans="1:1" x14ac:dyDescent="0.25">
      <c r="A891" s="4" t="s">
        <v>1219</v>
      </c>
    </row>
    <row r="892" spans="1:1" x14ac:dyDescent="0.25">
      <c r="A892" s="4" t="s">
        <v>1220</v>
      </c>
    </row>
    <row r="893" spans="1:1" x14ac:dyDescent="0.25">
      <c r="A893" s="4" t="s">
        <v>1221</v>
      </c>
    </row>
    <row r="894" spans="1:1" x14ac:dyDescent="0.25">
      <c r="A894" s="4" t="s">
        <v>1222</v>
      </c>
    </row>
    <row r="895" spans="1:1" x14ac:dyDescent="0.25">
      <c r="A895" s="4" t="s">
        <v>1223</v>
      </c>
    </row>
    <row r="896" spans="1:1" x14ac:dyDescent="0.25">
      <c r="A896" s="4" t="s">
        <v>1224</v>
      </c>
    </row>
    <row r="897" spans="1:1" x14ac:dyDescent="0.25">
      <c r="A897" s="4" t="s">
        <v>1225</v>
      </c>
    </row>
    <row r="898" spans="1:1" x14ac:dyDescent="0.25">
      <c r="A898" s="4" t="s">
        <v>1226</v>
      </c>
    </row>
    <row r="899" spans="1:1" x14ac:dyDescent="0.25">
      <c r="A899" s="4" t="s">
        <v>1227</v>
      </c>
    </row>
    <row r="900" spans="1:1" x14ac:dyDescent="0.25">
      <c r="A900" s="4" t="s">
        <v>1228</v>
      </c>
    </row>
    <row r="901" spans="1:1" x14ac:dyDescent="0.25">
      <c r="A901" s="4" t="s">
        <v>1229</v>
      </c>
    </row>
    <row r="902" spans="1:1" x14ac:dyDescent="0.25">
      <c r="A902" s="4" t="s">
        <v>1230</v>
      </c>
    </row>
    <row r="903" spans="1:1" x14ac:dyDescent="0.25">
      <c r="A903" s="4" t="s">
        <v>1231</v>
      </c>
    </row>
    <row r="904" spans="1:1" x14ac:dyDescent="0.25">
      <c r="A904" s="4" t="s">
        <v>1232</v>
      </c>
    </row>
    <row r="905" spans="1:1" x14ac:dyDescent="0.25">
      <c r="A905" s="4" t="s">
        <v>1233</v>
      </c>
    </row>
    <row r="906" spans="1:1" x14ac:dyDescent="0.25">
      <c r="A906" s="4" t="s">
        <v>1234</v>
      </c>
    </row>
    <row r="907" spans="1:1" x14ac:dyDescent="0.25">
      <c r="A907" s="4" t="s">
        <v>1235</v>
      </c>
    </row>
    <row r="908" spans="1:1" x14ac:dyDescent="0.25">
      <c r="A908" s="4" t="s">
        <v>1236</v>
      </c>
    </row>
    <row r="909" spans="1:1" x14ac:dyDescent="0.25">
      <c r="A909" s="4" t="s">
        <v>1237</v>
      </c>
    </row>
    <row r="910" spans="1:1" x14ac:dyDescent="0.25">
      <c r="A910" s="4" t="s">
        <v>1238</v>
      </c>
    </row>
    <row r="911" spans="1:1" x14ac:dyDescent="0.25">
      <c r="A911" s="4" t="s">
        <v>1239</v>
      </c>
    </row>
    <row r="912" spans="1:1" x14ac:dyDescent="0.25">
      <c r="A912" s="4" t="s">
        <v>1240</v>
      </c>
    </row>
    <row r="913" spans="1:1" x14ac:dyDescent="0.25">
      <c r="A913" s="4" t="s">
        <v>1241</v>
      </c>
    </row>
    <row r="914" spans="1:1" x14ac:dyDescent="0.25">
      <c r="A914" s="4" t="s">
        <v>1242</v>
      </c>
    </row>
    <row r="915" spans="1:1" x14ac:dyDescent="0.25">
      <c r="A915" s="4" t="s">
        <v>1243</v>
      </c>
    </row>
    <row r="916" spans="1:1" x14ac:dyDescent="0.25">
      <c r="A916" s="4" t="s">
        <v>1244</v>
      </c>
    </row>
    <row r="917" spans="1:1" x14ac:dyDescent="0.25">
      <c r="A917" s="4" t="s">
        <v>1245</v>
      </c>
    </row>
    <row r="918" spans="1:1" x14ac:dyDescent="0.25">
      <c r="A918" s="4" t="s">
        <v>1246</v>
      </c>
    </row>
    <row r="919" spans="1:1" x14ac:dyDescent="0.25">
      <c r="A919" s="4" t="s">
        <v>1247</v>
      </c>
    </row>
    <row r="920" spans="1:1" x14ac:dyDescent="0.25">
      <c r="A920" s="4" t="s">
        <v>1248</v>
      </c>
    </row>
    <row r="921" spans="1:1" x14ac:dyDescent="0.25">
      <c r="A921" s="4" t="s">
        <v>1249</v>
      </c>
    </row>
    <row r="922" spans="1:1" x14ac:dyDescent="0.25">
      <c r="A922" s="4" t="s">
        <v>1250</v>
      </c>
    </row>
    <row r="923" spans="1:1" x14ac:dyDescent="0.25">
      <c r="A923" s="4" t="s">
        <v>1251</v>
      </c>
    </row>
    <row r="924" spans="1:1" x14ac:dyDescent="0.25">
      <c r="A924" s="4" t="s">
        <v>1252</v>
      </c>
    </row>
    <row r="925" spans="1:1" x14ac:dyDescent="0.25">
      <c r="A925" s="4" t="s">
        <v>1253</v>
      </c>
    </row>
    <row r="926" spans="1:1" x14ac:dyDescent="0.25">
      <c r="A926" s="4" t="s">
        <v>1254</v>
      </c>
    </row>
    <row r="927" spans="1:1" x14ac:dyDescent="0.25">
      <c r="A927" s="4" t="s">
        <v>1255</v>
      </c>
    </row>
    <row r="928" spans="1:1" x14ac:dyDescent="0.25">
      <c r="A928" s="4" t="s">
        <v>1256</v>
      </c>
    </row>
    <row r="929" spans="1:1" x14ac:dyDescent="0.25">
      <c r="A929" s="4" t="s">
        <v>1257</v>
      </c>
    </row>
    <row r="930" spans="1:1" x14ac:dyDescent="0.25">
      <c r="A930" s="4" t="s">
        <v>1258</v>
      </c>
    </row>
    <row r="931" spans="1:1" x14ac:dyDescent="0.25">
      <c r="A931" s="4" t="s">
        <v>1259</v>
      </c>
    </row>
    <row r="932" spans="1:1" x14ac:dyDescent="0.25">
      <c r="A932" s="4" t="s">
        <v>1260</v>
      </c>
    </row>
    <row r="933" spans="1:1" x14ac:dyDescent="0.25">
      <c r="A933" s="4" t="s">
        <v>1261</v>
      </c>
    </row>
    <row r="934" spans="1:1" x14ac:dyDescent="0.25">
      <c r="A934" s="4" t="s">
        <v>1262</v>
      </c>
    </row>
    <row r="935" spans="1:1" x14ac:dyDescent="0.25">
      <c r="A935" s="4" t="s">
        <v>1263</v>
      </c>
    </row>
    <row r="936" spans="1:1" x14ac:dyDescent="0.25">
      <c r="A936" s="4" t="s">
        <v>1264</v>
      </c>
    </row>
    <row r="937" spans="1:1" x14ac:dyDescent="0.25">
      <c r="A937" s="4" t="s">
        <v>1265</v>
      </c>
    </row>
    <row r="938" spans="1:1" x14ac:dyDescent="0.25">
      <c r="A938" s="4" t="s">
        <v>1266</v>
      </c>
    </row>
    <row r="939" spans="1:1" x14ac:dyDescent="0.25">
      <c r="A939" s="4" t="s">
        <v>1267</v>
      </c>
    </row>
    <row r="940" spans="1:1" x14ac:dyDescent="0.25">
      <c r="A940" s="4" t="s">
        <v>1268</v>
      </c>
    </row>
    <row r="941" spans="1:1" x14ac:dyDescent="0.25">
      <c r="A941" s="4" t="s">
        <v>1269</v>
      </c>
    </row>
    <row r="942" spans="1:1" x14ac:dyDescent="0.25">
      <c r="A942" s="4" t="s">
        <v>1270</v>
      </c>
    </row>
    <row r="943" spans="1:1" x14ac:dyDescent="0.25">
      <c r="A943" s="4" t="s">
        <v>1271</v>
      </c>
    </row>
    <row r="944" spans="1:1" x14ac:dyDescent="0.25">
      <c r="A944" s="4" t="s">
        <v>1272</v>
      </c>
    </row>
    <row r="945" spans="1:1" x14ac:dyDescent="0.25">
      <c r="A945" s="4" t="s">
        <v>1273</v>
      </c>
    </row>
    <row r="946" spans="1:1" x14ac:dyDescent="0.25">
      <c r="A946" s="4" t="s">
        <v>1274</v>
      </c>
    </row>
    <row r="947" spans="1:1" x14ac:dyDescent="0.25">
      <c r="A947" s="4" t="s">
        <v>1275</v>
      </c>
    </row>
    <row r="948" spans="1:1" x14ac:dyDescent="0.25">
      <c r="A948" s="4" t="s">
        <v>1276</v>
      </c>
    </row>
    <row r="949" spans="1:1" x14ac:dyDescent="0.25">
      <c r="A949" s="4" t="s">
        <v>1277</v>
      </c>
    </row>
    <row r="950" spans="1:1" x14ac:dyDescent="0.25">
      <c r="A950" s="4" t="s">
        <v>1278</v>
      </c>
    </row>
    <row r="951" spans="1:1" x14ac:dyDescent="0.25">
      <c r="A951" s="4" t="s">
        <v>1279</v>
      </c>
    </row>
    <row r="952" spans="1:1" x14ac:dyDescent="0.25">
      <c r="A952" s="4" t="s">
        <v>1280</v>
      </c>
    </row>
    <row r="953" spans="1:1" x14ac:dyDescent="0.25">
      <c r="A953" s="4" t="s">
        <v>1281</v>
      </c>
    </row>
    <row r="954" spans="1:1" x14ac:dyDescent="0.25">
      <c r="A954" s="4" t="s">
        <v>1282</v>
      </c>
    </row>
    <row r="955" spans="1:1" x14ac:dyDescent="0.25">
      <c r="A955" s="4" t="s">
        <v>1283</v>
      </c>
    </row>
    <row r="956" spans="1:1" x14ac:dyDescent="0.25">
      <c r="A956" s="4" t="s">
        <v>1284</v>
      </c>
    </row>
    <row r="957" spans="1:1" x14ac:dyDescent="0.25">
      <c r="A957" s="4" t="s">
        <v>1285</v>
      </c>
    </row>
    <row r="958" spans="1:1" x14ac:dyDescent="0.25">
      <c r="A958" s="4" t="s">
        <v>1286</v>
      </c>
    </row>
    <row r="959" spans="1:1" x14ac:dyDescent="0.25">
      <c r="A959" s="4" t="s">
        <v>1287</v>
      </c>
    </row>
    <row r="960" spans="1:1" x14ac:dyDescent="0.25">
      <c r="A960" s="4" t="s">
        <v>1288</v>
      </c>
    </row>
    <row r="961" spans="1:1" x14ac:dyDescent="0.25">
      <c r="A961" s="4" t="s">
        <v>1289</v>
      </c>
    </row>
    <row r="962" spans="1:1" x14ac:dyDescent="0.25">
      <c r="A962" s="4" t="s">
        <v>1290</v>
      </c>
    </row>
    <row r="963" spans="1:1" x14ac:dyDescent="0.25">
      <c r="A963" s="4" t="s">
        <v>1291</v>
      </c>
    </row>
    <row r="964" spans="1:1" x14ac:dyDescent="0.25">
      <c r="A964" s="4" t="s">
        <v>1292</v>
      </c>
    </row>
    <row r="965" spans="1:1" x14ac:dyDescent="0.25">
      <c r="A965" s="4" t="s">
        <v>1293</v>
      </c>
    </row>
    <row r="966" spans="1:1" x14ac:dyDescent="0.25">
      <c r="A966" s="4" t="s">
        <v>1294</v>
      </c>
    </row>
    <row r="967" spans="1:1" x14ac:dyDescent="0.25">
      <c r="A967" s="4" t="s">
        <v>1295</v>
      </c>
    </row>
    <row r="968" spans="1:1" x14ac:dyDescent="0.25">
      <c r="A968" s="4" t="s">
        <v>1296</v>
      </c>
    </row>
    <row r="969" spans="1:1" x14ac:dyDescent="0.25">
      <c r="A969" s="4" t="s">
        <v>1297</v>
      </c>
    </row>
    <row r="970" spans="1:1" x14ac:dyDescent="0.25">
      <c r="A970" s="4" t="s">
        <v>1298</v>
      </c>
    </row>
    <row r="971" spans="1:1" x14ac:dyDescent="0.25">
      <c r="A971" s="4" t="s">
        <v>1299</v>
      </c>
    </row>
    <row r="972" spans="1:1" x14ac:dyDescent="0.25">
      <c r="A972" s="4" t="s">
        <v>1300</v>
      </c>
    </row>
    <row r="973" spans="1:1" x14ac:dyDescent="0.25">
      <c r="A973" s="4" t="s">
        <v>1301</v>
      </c>
    </row>
    <row r="974" spans="1:1" x14ac:dyDescent="0.25">
      <c r="A974" s="4" t="s">
        <v>1302</v>
      </c>
    </row>
    <row r="975" spans="1:1" x14ac:dyDescent="0.25">
      <c r="A975" s="4" t="s">
        <v>1303</v>
      </c>
    </row>
    <row r="976" spans="1:1" x14ac:dyDescent="0.25">
      <c r="A976" s="4" t="s">
        <v>1304</v>
      </c>
    </row>
    <row r="977" spans="1:1" x14ac:dyDescent="0.25">
      <c r="A977" s="4" t="s">
        <v>1305</v>
      </c>
    </row>
    <row r="978" spans="1:1" x14ac:dyDescent="0.25">
      <c r="A978" s="4" t="s">
        <v>1306</v>
      </c>
    </row>
    <row r="979" spans="1:1" x14ac:dyDescent="0.25">
      <c r="A979" s="4" t="s">
        <v>1307</v>
      </c>
    </row>
    <row r="980" spans="1:1" x14ac:dyDescent="0.25">
      <c r="A980" s="4" t="s">
        <v>1308</v>
      </c>
    </row>
    <row r="981" spans="1:1" x14ac:dyDescent="0.25">
      <c r="A981" s="4" t="s">
        <v>1309</v>
      </c>
    </row>
    <row r="982" spans="1:1" x14ac:dyDescent="0.25">
      <c r="A982" s="4" t="s">
        <v>1310</v>
      </c>
    </row>
    <row r="983" spans="1:1" x14ac:dyDescent="0.25">
      <c r="A983" s="4" t="s">
        <v>1311</v>
      </c>
    </row>
    <row r="984" spans="1:1" x14ac:dyDescent="0.25">
      <c r="A984" s="4" t="s">
        <v>1312</v>
      </c>
    </row>
    <row r="985" spans="1:1" x14ac:dyDescent="0.25">
      <c r="A985" s="4" t="s">
        <v>1313</v>
      </c>
    </row>
    <row r="986" spans="1:1" x14ac:dyDescent="0.25">
      <c r="A986" s="4" t="s">
        <v>1314</v>
      </c>
    </row>
    <row r="987" spans="1:1" x14ac:dyDescent="0.25">
      <c r="A987" s="4" t="s">
        <v>1315</v>
      </c>
    </row>
    <row r="988" spans="1:1" x14ac:dyDescent="0.25">
      <c r="A988" s="4" t="s">
        <v>1316</v>
      </c>
    </row>
    <row r="989" spans="1:1" x14ac:dyDescent="0.25">
      <c r="A989" s="4" t="s">
        <v>1317</v>
      </c>
    </row>
    <row r="990" spans="1:1" x14ac:dyDescent="0.25">
      <c r="A990" s="4" t="s">
        <v>1318</v>
      </c>
    </row>
    <row r="991" spans="1:1" x14ac:dyDescent="0.25">
      <c r="A991" s="4" t="s">
        <v>1319</v>
      </c>
    </row>
    <row r="992" spans="1:1" x14ac:dyDescent="0.25">
      <c r="A992" s="4" t="s">
        <v>1320</v>
      </c>
    </row>
    <row r="993" spans="1:1" x14ac:dyDescent="0.25">
      <c r="A993" s="4" t="s">
        <v>1321</v>
      </c>
    </row>
    <row r="994" spans="1:1" x14ac:dyDescent="0.25">
      <c r="A994" s="4" t="s">
        <v>1322</v>
      </c>
    </row>
    <row r="995" spans="1:1" x14ac:dyDescent="0.25">
      <c r="A995" s="4" t="s">
        <v>1323</v>
      </c>
    </row>
    <row r="996" spans="1:1" x14ac:dyDescent="0.25">
      <c r="A996" s="4" t="s">
        <v>1324</v>
      </c>
    </row>
    <row r="997" spans="1:1" x14ac:dyDescent="0.25">
      <c r="A997" s="4" t="s">
        <v>1325</v>
      </c>
    </row>
    <row r="998" spans="1:1" x14ac:dyDescent="0.25">
      <c r="A998" s="4" t="s">
        <v>1326</v>
      </c>
    </row>
    <row r="999" spans="1:1" x14ac:dyDescent="0.25">
      <c r="A999" s="4" t="s">
        <v>1327</v>
      </c>
    </row>
    <row r="1000" spans="1:1" x14ac:dyDescent="0.25">
      <c r="A1000" s="4" t="s">
        <v>1328</v>
      </c>
    </row>
    <row r="1001" spans="1:1" x14ac:dyDescent="0.25">
      <c r="A1001" s="5" t="s">
        <v>1329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103D-3F28-4CBC-9095-3B7DB725ECA0}">
  <sheetPr codeName="Hoja3"/>
  <dimension ref="A1:AG1001"/>
  <sheetViews>
    <sheetView topLeftCell="A10" zoomScaleNormal="100" workbookViewId="0">
      <selection activeCell="G1" sqref="G1:G1048576"/>
    </sheetView>
  </sheetViews>
  <sheetFormatPr baseColWidth="10" defaultRowHeight="15" x14ac:dyDescent="0.25"/>
  <cols>
    <col min="1" max="1" width="5.140625" bestFit="1" customWidth="1"/>
    <col min="2" max="2" width="10.85546875" style="1" bestFit="1" customWidth="1"/>
    <col min="3" max="3" width="10.7109375" style="33" bestFit="1" customWidth="1"/>
    <col min="4" max="4" width="11.28515625" style="34" bestFit="1" customWidth="1"/>
    <col min="5" max="5" width="9.7109375" style="35" customWidth="1"/>
    <col min="6" max="6" width="8.140625" bestFit="1" customWidth="1"/>
    <col min="7" max="7" width="18.85546875" style="25" bestFit="1" customWidth="1"/>
    <col min="8" max="8" width="17" bestFit="1" customWidth="1"/>
    <col min="9" max="9" width="35.140625" bestFit="1" customWidth="1"/>
    <col min="10" max="10" width="24.28515625" bestFit="1" customWidth="1"/>
    <col min="11" max="11" width="20.85546875" bestFit="1" customWidth="1"/>
    <col min="12" max="12" width="21.5703125" bestFit="1" customWidth="1"/>
    <col min="13" max="13" width="26.28515625" bestFit="1" customWidth="1"/>
    <col min="14" max="14" width="12" bestFit="1" customWidth="1"/>
    <col min="15" max="15" width="16.28515625" bestFit="1" customWidth="1"/>
    <col min="16" max="16" width="20" bestFit="1" customWidth="1"/>
    <col min="17" max="17" width="16.28515625" bestFit="1" customWidth="1"/>
    <col min="18" max="18" width="21.42578125" bestFit="1" customWidth="1"/>
    <col min="19" max="19" width="17.140625" bestFit="1" customWidth="1"/>
    <col min="20" max="20" width="15" bestFit="1" customWidth="1"/>
    <col min="21" max="21" width="19.28515625" bestFit="1" customWidth="1"/>
    <col min="22" max="22" width="17.85546875" bestFit="1" customWidth="1"/>
    <col min="23" max="23" width="32.85546875" bestFit="1" customWidth="1"/>
    <col min="24" max="24" width="21.140625" bestFit="1" customWidth="1"/>
    <col min="25" max="25" width="21.85546875" bestFit="1" customWidth="1"/>
    <col min="26" max="26" width="17" bestFit="1" customWidth="1"/>
    <col min="27" max="27" width="19.7109375" bestFit="1" customWidth="1"/>
    <col min="30" max="30" width="17" bestFit="1" customWidth="1"/>
    <col min="31" max="31" width="10.7109375" bestFit="1" customWidth="1"/>
    <col min="32" max="32" width="12.7109375" bestFit="1" customWidth="1"/>
    <col min="33" max="33" width="34.140625" bestFit="1" customWidth="1"/>
  </cols>
  <sheetData>
    <row r="1" spans="1:33" x14ac:dyDescent="0.25">
      <c r="A1" t="s">
        <v>0</v>
      </c>
      <c r="B1" s="1" t="s">
        <v>1</v>
      </c>
      <c r="C1" s="33" t="s">
        <v>1350</v>
      </c>
      <c r="D1" s="34" t="s">
        <v>1373</v>
      </c>
      <c r="E1" s="35" t="s">
        <v>1374</v>
      </c>
      <c r="F1" t="s">
        <v>2</v>
      </c>
      <c r="G1" t="s">
        <v>3</v>
      </c>
      <c r="H1" t="s">
        <v>4</v>
      </c>
      <c r="I1" s="29" t="s">
        <v>1347</v>
      </c>
      <c r="J1" t="s">
        <v>5</v>
      </c>
      <c r="K1" s="9" t="s">
        <v>1331</v>
      </c>
      <c r="L1" s="9" t="s">
        <v>1341</v>
      </c>
      <c r="M1" t="s">
        <v>6</v>
      </c>
      <c r="N1" s="9" t="s">
        <v>1377</v>
      </c>
      <c r="O1" t="s">
        <v>7</v>
      </c>
      <c r="P1" t="s">
        <v>8</v>
      </c>
      <c r="Q1" s="10" t="s">
        <v>1332</v>
      </c>
      <c r="R1" s="10" t="s">
        <v>1343</v>
      </c>
      <c r="S1" t="s">
        <v>9</v>
      </c>
      <c r="T1" s="9" t="s">
        <v>1376</v>
      </c>
      <c r="U1" t="s">
        <v>10</v>
      </c>
      <c r="V1" t="s">
        <v>11</v>
      </c>
      <c r="W1" t="s">
        <v>12</v>
      </c>
      <c r="X1" t="s">
        <v>13</v>
      </c>
      <c r="Y1" t="s">
        <v>14</v>
      </c>
      <c r="Z1" t="s">
        <v>15</v>
      </c>
      <c r="AA1" t="s">
        <v>16</v>
      </c>
      <c r="AB1" t="s">
        <v>17</v>
      </c>
      <c r="AC1" t="s">
        <v>18</v>
      </c>
    </row>
    <row r="2" spans="1:33" x14ac:dyDescent="0.25">
      <c r="A2">
        <v>1</v>
      </c>
      <c r="B2" s="1">
        <v>45228</v>
      </c>
      <c r="C2" s="33">
        <f t="shared" ref="C2:C65" si="0">B:B</f>
        <v>45228</v>
      </c>
      <c r="D2" s="34">
        <f t="shared" ref="D2:D65" si="1">B:B</f>
        <v>45228</v>
      </c>
      <c r="E2" s="35" t="s">
        <v>1449</v>
      </c>
      <c r="F2" s="2">
        <v>0.99861111111111112</v>
      </c>
      <c r="G2" s="3" t="s">
        <v>19</v>
      </c>
      <c r="H2" s="3" t="s">
        <v>20</v>
      </c>
      <c r="I2" s="25" t="str">
        <f>VLOOKUP(H2,Tabla5[#All],4,FALSE)</f>
        <v>-31,4800162965848, -64,2094200976892</v>
      </c>
      <c r="J2" s="1">
        <v>26796</v>
      </c>
      <c r="K2" s="7">
        <f>INT((crimenes_cordoba_ampliado[[#This Row],[Fecha]]-crimenes_cordoba_ampliado[[#This Row],[Fecha Nac. Delincuente]])/365)</f>
        <v>50</v>
      </c>
      <c r="L2" s="7" t="str">
        <f>_xlfn.XLOOKUP(crimenes_cordoba_ampliado[[#This Row],[EDAD DELINCUENTE]],'Rango etareo'!$A$10:$A$25,'Rango etareo'!$B$10:$B$25,,-1)</f>
        <v>46 - 55</v>
      </c>
      <c r="M2" s="3" t="s">
        <v>21</v>
      </c>
      <c r="N2" s="3" t="str">
        <f>IF(crimenes_cordoba_ampliado[[#This Row],[Género Delincuente]]="Femenino","🚺","🚹")</f>
        <v>🚺</v>
      </c>
      <c r="O2">
        <v>4</v>
      </c>
      <c r="P2" s="1">
        <v>20948</v>
      </c>
      <c r="Q2" s="7">
        <f>INT((crimenes_cordoba_ampliado[[#This Row],[Fecha]]-crimenes_cordoba_ampliado[[#This Row],[Fecha Nac. Víctima]])/365)</f>
        <v>66</v>
      </c>
      <c r="R2" s="7" t="str">
        <f>_xlfn.XLOOKUP(crimenes_cordoba_ampliado[[#This Row],[EDAD VICTIMA]],'Rango etareo'!$A$2:$A$25,'Rango etareo'!$B$2:$B$25,,-1)</f>
        <v>&gt;65</v>
      </c>
      <c r="S2" s="3" t="s">
        <v>22</v>
      </c>
      <c r="T2" s="3" t="str">
        <f>IF(crimenes_cordoba_ampliado[[#This Row],[Género Víctima]]="Masculino","🚹","🚺")</f>
        <v>🚹</v>
      </c>
      <c r="U2">
        <v>3</v>
      </c>
      <c r="V2" s="3" t="s">
        <v>23</v>
      </c>
      <c r="W2" s="3" t="s">
        <v>24</v>
      </c>
      <c r="X2" s="3" t="s">
        <v>24</v>
      </c>
      <c r="Y2" s="3" t="s">
        <v>24</v>
      </c>
      <c r="Z2" s="3" t="s">
        <v>23</v>
      </c>
      <c r="AA2" s="3" t="s">
        <v>25</v>
      </c>
      <c r="AB2" s="3" t="str">
        <f>IF(crimenes_cordoba_ampliado[[#This Row],[Hubo Arresto]]="Sí", "Resuelto", "Pendiente")</f>
        <v>Resuelto</v>
      </c>
      <c r="AC2" s="3" t="s">
        <v>26</v>
      </c>
      <c r="AD2" s="3"/>
    </row>
    <row r="3" spans="1:33" x14ac:dyDescent="0.25">
      <c r="A3">
        <v>2</v>
      </c>
      <c r="B3" s="1">
        <v>42809</v>
      </c>
      <c r="C3" s="33">
        <f t="shared" si="0"/>
        <v>42809</v>
      </c>
      <c r="D3" s="34">
        <f t="shared" si="1"/>
        <v>42809</v>
      </c>
      <c r="E3" s="35" t="s">
        <v>1450</v>
      </c>
      <c r="F3" s="2">
        <v>0.42083333333333334</v>
      </c>
      <c r="G3" s="3" t="s">
        <v>27</v>
      </c>
      <c r="H3" s="3" t="s">
        <v>28</v>
      </c>
      <c r="I3" s="25" t="str">
        <f>VLOOKUP(H3,Tabla5[#All],4,FALSE)</f>
        <v>-31,4129883640337, -64,1681120522587</v>
      </c>
      <c r="J3" s="1">
        <v>23002</v>
      </c>
      <c r="K3" s="7">
        <f>INT((crimenes_cordoba_ampliado[[#This Row],[Fecha]]-crimenes_cordoba_ampliado[[#This Row],[Fecha Nac. Delincuente]])/365)</f>
        <v>54</v>
      </c>
      <c r="L3" s="7" t="str">
        <f>_xlfn.XLOOKUP(crimenes_cordoba_ampliado[[#This Row],[EDAD DELINCUENTE]],'Rango etareo'!$A$10:$A$25,'Rango etareo'!$B$10:$B$25,,-1)</f>
        <v>46 - 55</v>
      </c>
      <c r="M3" s="3" t="s">
        <v>22</v>
      </c>
      <c r="N3" s="3" t="str">
        <f>IF(crimenes_cordoba_ampliado[[#This Row],[Género Delincuente]]="Femenino","🚺","🚹")</f>
        <v>🚹</v>
      </c>
      <c r="O3">
        <v>4</v>
      </c>
      <c r="P3" s="1">
        <v>26916</v>
      </c>
      <c r="Q3" s="7">
        <f>INT((crimenes_cordoba_ampliado[[#This Row],[Fecha]]-crimenes_cordoba_ampliado[[#This Row],[Fecha Nac. Víctima]])/365)</f>
        <v>43</v>
      </c>
      <c r="R3" s="7" t="str">
        <f>_xlfn.XLOOKUP(crimenes_cordoba_ampliado[[#This Row],[EDAD VICTIMA]],'Rango etareo'!$A$2:$A$25,'Rango etareo'!$B$2:$B$25,,-1)</f>
        <v>36 - 45</v>
      </c>
      <c r="S3" s="3" t="s">
        <v>22</v>
      </c>
      <c r="T3" s="3" t="str">
        <f>IF(crimenes_cordoba_ampliado[[#This Row],[Género Víctima]]="Masculino","🚹","🚺")</f>
        <v>🚹</v>
      </c>
      <c r="U3">
        <v>3</v>
      </c>
      <c r="V3" s="3" t="s">
        <v>23</v>
      </c>
      <c r="W3" s="3" t="s">
        <v>24</v>
      </c>
      <c r="X3" s="3" t="s">
        <v>29</v>
      </c>
      <c r="Y3" s="3" t="s">
        <v>24</v>
      </c>
      <c r="Z3" s="3" t="s">
        <v>23</v>
      </c>
      <c r="AA3" s="3" t="s">
        <v>23</v>
      </c>
      <c r="AB3" s="3" t="str">
        <f>IF(crimenes_cordoba_ampliado[[#This Row],[Hubo Arresto]]="Sí", "Resuelto", "Pendiente")</f>
        <v>Resuelto</v>
      </c>
      <c r="AC3" s="3" t="s">
        <v>30</v>
      </c>
      <c r="AD3" s="3"/>
    </row>
    <row r="4" spans="1:33" x14ac:dyDescent="0.25">
      <c r="A4">
        <v>72</v>
      </c>
      <c r="B4" s="1">
        <v>42008</v>
      </c>
      <c r="C4" s="33">
        <f t="shared" si="0"/>
        <v>42008</v>
      </c>
      <c r="D4" s="34">
        <f t="shared" si="1"/>
        <v>42008</v>
      </c>
      <c r="E4" s="35" t="s">
        <v>1449</v>
      </c>
      <c r="F4" s="2">
        <v>0.875</v>
      </c>
      <c r="G4" s="3" t="s">
        <v>38</v>
      </c>
      <c r="H4" s="3" t="s">
        <v>40</v>
      </c>
      <c r="I4" s="25" t="str">
        <f>VLOOKUP(H4,Tabla5[#All],4,FALSE)</f>
        <v>-31,334500143441, -64,2460773260564</v>
      </c>
      <c r="J4" s="1">
        <v>33140</v>
      </c>
      <c r="K4" s="7">
        <f>INT((crimenes_cordoba_ampliado[[#This Row],[Fecha]]-crimenes_cordoba_ampliado[[#This Row],[Fecha Nac. Delincuente]])/365)</f>
        <v>24</v>
      </c>
      <c r="L4" s="7" t="str">
        <f>_xlfn.XLOOKUP(crimenes_cordoba_ampliado[[#This Row],[EDAD DELINCUENTE]],'Rango etareo'!$A$10:$A$25,'Rango etareo'!$B$10:$B$25,,-1)</f>
        <v>18 - 25</v>
      </c>
      <c r="M4" s="3" t="s">
        <v>22</v>
      </c>
      <c r="N4" s="3" t="str">
        <f>IF(crimenes_cordoba_ampliado[[#This Row],[Género Delincuente]]="Femenino","🚺","🚹")</f>
        <v>🚹</v>
      </c>
      <c r="O4">
        <v>1</v>
      </c>
      <c r="P4" s="1">
        <v>20860</v>
      </c>
      <c r="Q4" s="7">
        <f>INT((crimenes_cordoba_ampliado[[#This Row],[Fecha]]-crimenes_cordoba_ampliado[[#This Row],[Fecha Nac. Víctima]])/365)</f>
        <v>57</v>
      </c>
      <c r="R4" s="7" t="str">
        <f>_xlfn.XLOOKUP(crimenes_cordoba_ampliado[[#This Row],[EDAD VICTIMA]],'Rango etareo'!$A$2:$A$25,'Rango etareo'!$B$2:$B$25,,-1)</f>
        <v>56 - 65</v>
      </c>
      <c r="S4" s="3" t="s">
        <v>22</v>
      </c>
      <c r="T4" s="3" t="str">
        <f>IF(crimenes_cordoba_ampliado[[#This Row],[Género Víctima]]="Masculino","🚹","🚺")</f>
        <v>🚹</v>
      </c>
      <c r="U4">
        <v>1</v>
      </c>
      <c r="V4" s="3" t="s">
        <v>25</v>
      </c>
      <c r="W4" s="3" t="s">
        <v>71</v>
      </c>
      <c r="X4" s="3" t="s">
        <v>24</v>
      </c>
      <c r="Y4" s="3" t="s">
        <v>64</v>
      </c>
      <c r="Z4" s="3" t="s">
        <v>25</v>
      </c>
      <c r="AA4" s="3" t="s">
        <v>25</v>
      </c>
      <c r="AB4" s="3" t="str">
        <f>IF(crimenes_cordoba_ampliado[[#This Row],[Hubo Arresto]]="Sí", "Resuelto", "Pendiente")</f>
        <v>Pendiente</v>
      </c>
      <c r="AC4" s="3" t="s">
        <v>24</v>
      </c>
      <c r="AD4" s="3"/>
    </row>
    <row r="5" spans="1:33" x14ac:dyDescent="0.25">
      <c r="A5">
        <v>3</v>
      </c>
      <c r="B5" s="1">
        <v>44856</v>
      </c>
      <c r="C5" s="33">
        <f t="shared" si="0"/>
        <v>44856</v>
      </c>
      <c r="D5" s="34">
        <f t="shared" si="1"/>
        <v>44856</v>
      </c>
      <c r="E5" s="35" t="s">
        <v>1451</v>
      </c>
      <c r="F5" s="2">
        <v>0.79652777777777772</v>
      </c>
      <c r="G5" s="3" t="s">
        <v>31</v>
      </c>
      <c r="H5" s="3" t="s">
        <v>32</v>
      </c>
      <c r="I5" s="25" t="str">
        <f>VLOOKUP(H5,Tabla5[#All],4,FALSE)</f>
        <v>-31,4148488101991, -64,1793406489438</v>
      </c>
      <c r="J5" s="1">
        <v>36587</v>
      </c>
      <c r="K5" s="7">
        <f>INT((crimenes_cordoba_ampliado[[#This Row],[Fecha]]-crimenes_cordoba_ampliado[[#This Row],[Fecha Nac. Delincuente]])/365)</f>
        <v>22</v>
      </c>
      <c r="L5" s="7" t="str">
        <f>_xlfn.XLOOKUP(crimenes_cordoba_ampliado[[#This Row],[EDAD DELINCUENTE]],'Rango etareo'!$A$10:$A$25,'Rango etareo'!$B$10:$B$25,,-1)</f>
        <v>18 - 25</v>
      </c>
      <c r="M5" s="3" t="s">
        <v>22</v>
      </c>
      <c r="N5" s="3" t="str">
        <f>IF(crimenes_cordoba_ampliado[[#This Row],[Género Delincuente]]="Femenino","🚺","🚹")</f>
        <v>🚹</v>
      </c>
      <c r="O5">
        <v>4</v>
      </c>
      <c r="P5" s="1">
        <v>35689</v>
      </c>
      <c r="Q5" s="7">
        <f>INT((crimenes_cordoba_ampliado[[#This Row],[Fecha]]-crimenes_cordoba_ampliado[[#This Row],[Fecha Nac. Víctima]])/365)</f>
        <v>25</v>
      </c>
      <c r="R5" s="7" t="str">
        <f>_xlfn.XLOOKUP(crimenes_cordoba_ampliado[[#This Row],[EDAD VICTIMA]],'Rango etareo'!$A$2:$A$25,'Rango etareo'!$B$2:$B$25,,-1)</f>
        <v>18 - 25</v>
      </c>
      <c r="S5" s="3" t="s">
        <v>21</v>
      </c>
      <c r="T5" s="3" t="str">
        <f>IF(crimenes_cordoba_ampliado[[#This Row],[Género Víctima]]="Masculino","🚹","🚺")</f>
        <v>🚺</v>
      </c>
      <c r="U5">
        <v>3</v>
      </c>
      <c r="V5" s="3" t="s">
        <v>23</v>
      </c>
      <c r="W5" s="3" t="s">
        <v>24</v>
      </c>
      <c r="X5" s="3" t="s">
        <v>24</v>
      </c>
      <c r="Y5" s="3" t="s">
        <v>33</v>
      </c>
      <c r="Z5" s="3" t="s">
        <v>23</v>
      </c>
      <c r="AA5" s="3" t="s">
        <v>25</v>
      </c>
      <c r="AB5" s="3" t="str">
        <f>IF(crimenes_cordoba_ampliado[[#This Row],[Hubo Arresto]]="Sí", "Resuelto", "Pendiente")</f>
        <v>Resuelto</v>
      </c>
      <c r="AC5" s="3" t="s">
        <v>34</v>
      </c>
      <c r="AD5" s="3"/>
      <c r="AG5" s="8"/>
    </row>
    <row r="6" spans="1:33" x14ac:dyDescent="0.25">
      <c r="A6">
        <v>656</v>
      </c>
      <c r="B6" s="1">
        <v>42016</v>
      </c>
      <c r="C6" s="33">
        <f t="shared" si="0"/>
        <v>42016</v>
      </c>
      <c r="D6" s="34">
        <f t="shared" si="1"/>
        <v>42016</v>
      </c>
      <c r="E6" s="35" t="s">
        <v>1452</v>
      </c>
      <c r="F6" s="2">
        <v>0.79513888888888884</v>
      </c>
      <c r="G6" s="3" t="s">
        <v>31</v>
      </c>
      <c r="H6" s="3" t="s">
        <v>70</v>
      </c>
      <c r="I6" s="25" t="str">
        <f>VLOOKUP(H6,Tabla5[#All],4,FALSE)</f>
        <v>-31,3759272890294, -64,2284587792478</v>
      </c>
      <c r="J6" s="1">
        <v>24425</v>
      </c>
      <c r="K6" s="7">
        <f>INT((crimenes_cordoba_ampliado[[#This Row],[Fecha]]-crimenes_cordoba_ampliado[[#This Row],[Fecha Nac. Delincuente]])/365)</f>
        <v>48</v>
      </c>
      <c r="L6" s="7" t="str">
        <f>_xlfn.XLOOKUP(crimenes_cordoba_ampliado[[#This Row],[EDAD DELINCUENTE]],'Rango etareo'!$A$10:$A$25,'Rango etareo'!$B$10:$B$25,,-1)</f>
        <v>46 - 55</v>
      </c>
      <c r="M6" s="3" t="s">
        <v>22</v>
      </c>
      <c r="N6" s="3" t="str">
        <f>IF(crimenes_cordoba_ampliado[[#This Row],[Género Delincuente]]="Femenino","🚺","🚹")</f>
        <v>🚹</v>
      </c>
      <c r="O6">
        <v>3</v>
      </c>
      <c r="P6" s="1">
        <v>21014</v>
      </c>
      <c r="Q6" s="7">
        <f>INT((crimenes_cordoba_ampliado[[#This Row],[Fecha]]-crimenes_cordoba_ampliado[[#This Row],[Fecha Nac. Víctima]])/365)</f>
        <v>57</v>
      </c>
      <c r="R6" s="7" t="str">
        <f>_xlfn.XLOOKUP(crimenes_cordoba_ampliado[[#This Row],[EDAD VICTIMA]],'Rango etareo'!$A$2:$A$25,'Rango etareo'!$B$2:$B$25,,-1)</f>
        <v>56 - 65</v>
      </c>
      <c r="S6" s="3" t="s">
        <v>21</v>
      </c>
      <c r="T6" s="3" t="str">
        <f>IF(crimenes_cordoba_ampliado[[#This Row],[Género Víctima]]="Masculino","🚹","🚺")</f>
        <v>🚺</v>
      </c>
      <c r="U6">
        <v>2</v>
      </c>
      <c r="V6" s="3" t="s">
        <v>25</v>
      </c>
      <c r="W6" s="3" t="s">
        <v>36</v>
      </c>
      <c r="X6" s="3" t="s">
        <v>24</v>
      </c>
      <c r="Y6" s="3" t="s">
        <v>64</v>
      </c>
      <c r="Z6" s="3" t="s">
        <v>25</v>
      </c>
      <c r="AA6" s="3" t="s">
        <v>25</v>
      </c>
      <c r="AB6" s="3" t="str">
        <f>IF(crimenes_cordoba_ampliado[[#This Row],[Hubo Arresto]]="Sí", "Resuelto", "Pendiente")</f>
        <v>Pendiente</v>
      </c>
      <c r="AC6" s="3" t="s">
        <v>24</v>
      </c>
      <c r="AD6" s="3"/>
    </row>
    <row r="7" spans="1:33" x14ac:dyDescent="0.25">
      <c r="A7">
        <v>779</v>
      </c>
      <c r="B7" s="1">
        <v>42016</v>
      </c>
      <c r="C7" s="33">
        <f t="shared" si="0"/>
        <v>42016</v>
      </c>
      <c r="D7" s="34">
        <f t="shared" si="1"/>
        <v>42016</v>
      </c>
      <c r="E7" s="35" t="s">
        <v>1452</v>
      </c>
      <c r="F7" s="2">
        <v>0.74097222222222225</v>
      </c>
      <c r="G7" s="3" t="s">
        <v>45</v>
      </c>
      <c r="H7" s="3" t="s">
        <v>52</v>
      </c>
      <c r="I7" s="25" t="str">
        <f>VLOOKUP(H7,Tabla5[#All],4,FALSE)</f>
        <v>-31,3477902896523, -64,2644406169297</v>
      </c>
      <c r="J7" s="1">
        <v>38976</v>
      </c>
      <c r="K7" s="7">
        <f>INT((crimenes_cordoba_ampliado[[#This Row],[Fecha]]-crimenes_cordoba_ampliado[[#This Row],[Fecha Nac. Delincuente]])/365)</f>
        <v>8</v>
      </c>
      <c r="L7" s="7" t="str">
        <f>_xlfn.XLOOKUP(crimenes_cordoba_ampliado[[#This Row],[EDAD DELINCUENTE]],'Rango etareo'!$A$10:$A$25,'Rango etareo'!$B$10:$B$25,,-1)</f>
        <v>&lt;=17</v>
      </c>
      <c r="M7" s="3" t="s">
        <v>22</v>
      </c>
      <c r="N7" s="3" t="str">
        <f>IF(crimenes_cordoba_ampliado[[#This Row],[Género Delincuente]]="Femenino","🚺","🚹")</f>
        <v>🚹</v>
      </c>
      <c r="O7">
        <v>1</v>
      </c>
      <c r="P7" s="1">
        <v>33570</v>
      </c>
      <c r="Q7" s="7">
        <f>INT((crimenes_cordoba_ampliado[[#This Row],[Fecha]]-crimenes_cordoba_ampliado[[#This Row],[Fecha Nac. Víctima]])/365)</f>
        <v>23</v>
      </c>
      <c r="R7" s="7" t="str">
        <f>_xlfn.XLOOKUP(crimenes_cordoba_ampliado[[#This Row],[EDAD VICTIMA]],'Rango etareo'!$A$2:$A$25,'Rango etareo'!$B$2:$B$25,,-1)</f>
        <v>18 - 25</v>
      </c>
      <c r="S7" s="3" t="s">
        <v>22</v>
      </c>
      <c r="T7" s="3" t="str">
        <f>IF(crimenes_cordoba_ampliado[[#This Row],[Género Víctima]]="Masculino","🚹","🚺")</f>
        <v>🚹</v>
      </c>
      <c r="U7">
        <v>2</v>
      </c>
      <c r="V7" s="3" t="s">
        <v>25</v>
      </c>
      <c r="W7" s="3" t="s">
        <v>24</v>
      </c>
      <c r="X7" s="3" t="s">
        <v>24</v>
      </c>
      <c r="Y7" s="3" t="s">
        <v>69</v>
      </c>
      <c r="Z7" s="3" t="s">
        <v>25</v>
      </c>
      <c r="AA7" s="3" t="s">
        <v>23</v>
      </c>
      <c r="AB7" s="3" t="str">
        <f>IF(crimenes_cordoba_ampliado[[#This Row],[Hubo Arresto]]="Sí", "Resuelto", "Pendiente")</f>
        <v>Pendiente</v>
      </c>
      <c r="AC7" s="3" t="s">
        <v>24</v>
      </c>
      <c r="AD7" s="3"/>
    </row>
    <row r="8" spans="1:33" x14ac:dyDescent="0.25">
      <c r="A8">
        <v>61</v>
      </c>
      <c r="B8" s="1">
        <v>42017</v>
      </c>
      <c r="C8" s="33">
        <f t="shared" si="0"/>
        <v>42017</v>
      </c>
      <c r="D8" s="34">
        <f t="shared" si="1"/>
        <v>42017</v>
      </c>
      <c r="E8" s="35" t="s">
        <v>1453</v>
      </c>
      <c r="F8" s="2">
        <v>0.26180555555555557</v>
      </c>
      <c r="G8" s="3" t="s">
        <v>31</v>
      </c>
      <c r="H8" s="3" t="s">
        <v>52</v>
      </c>
      <c r="I8" s="25" t="str">
        <f>VLOOKUP(H8,Tabla5[#All],4,FALSE)</f>
        <v>-31,3477902896523, -64,2644406169297</v>
      </c>
      <c r="J8" s="1">
        <v>30000</v>
      </c>
      <c r="K8" s="7">
        <f>INT((crimenes_cordoba_ampliado[[#This Row],[Fecha]]-crimenes_cordoba_ampliado[[#This Row],[Fecha Nac. Delincuente]])/365)</f>
        <v>32</v>
      </c>
      <c r="L8" s="7" t="str">
        <f>_xlfn.XLOOKUP(crimenes_cordoba_ampliado[[#This Row],[EDAD DELINCUENTE]],'Rango etareo'!$A$10:$A$25,'Rango etareo'!$B$10:$B$25,,-1)</f>
        <v>26 - 35</v>
      </c>
      <c r="M8" s="3" t="s">
        <v>22</v>
      </c>
      <c r="N8" s="3" t="str">
        <f>IF(crimenes_cordoba_ampliado[[#This Row],[Género Delincuente]]="Femenino","🚺","🚹")</f>
        <v>🚹</v>
      </c>
      <c r="O8">
        <v>1</v>
      </c>
      <c r="P8" s="1">
        <v>32861</v>
      </c>
      <c r="Q8" s="7">
        <f>INT((crimenes_cordoba_ampliado[[#This Row],[Fecha]]-crimenes_cordoba_ampliado[[#This Row],[Fecha Nac. Víctima]])/365)</f>
        <v>25</v>
      </c>
      <c r="R8" s="7" t="str">
        <f>_xlfn.XLOOKUP(crimenes_cordoba_ampliado[[#This Row],[EDAD VICTIMA]],'Rango etareo'!$A$2:$A$25,'Rango etareo'!$B$2:$B$25,,-1)</f>
        <v>18 - 25</v>
      </c>
      <c r="S8" s="3" t="s">
        <v>21</v>
      </c>
      <c r="T8" s="3" t="str">
        <f>IF(crimenes_cordoba_ampliado[[#This Row],[Género Víctima]]="Masculino","🚹","🚺")</f>
        <v>🚺</v>
      </c>
      <c r="U8">
        <v>1</v>
      </c>
      <c r="V8" s="3" t="s">
        <v>25</v>
      </c>
      <c r="W8" s="3" t="s">
        <v>24</v>
      </c>
      <c r="X8" s="3" t="s">
        <v>24</v>
      </c>
      <c r="Y8" s="3" t="s">
        <v>106</v>
      </c>
      <c r="Z8" s="3" t="s">
        <v>25</v>
      </c>
      <c r="AA8" s="3" t="s">
        <v>23</v>
      </c>
      <c r="AB8" s="3" t="str">
        <f>IF(crimenes_cordoba_ampliado[[#This Row],[Hubo Arresto]]="Sí", "Resuelto", "Pendiente")</f>
        <v>Pendiente</v>
      </c>
      <c r="AC8" s="3" t="s">
        <v>24</v>
      </c>
      <c r="AD8" s="3"/>
    </row>
    <row r="9" spans="1:33" x14ac:dyDescent="0.25">
      <c r="A9">
        <v>4</v>
      </c>
      <c r="B9" s="1">
        <v>45203</v>
      </c>
      <c r="C9" s="33">
        <f t="shared" si="0"/>
        <v>45203</v>
      </c>
      <c r="D9" s="34">
        <f t="shared" si="1"/>
        <v>45203</v>
      </c>
      <c r="E9" s="35" t="s">
        <v>1450</v>
      </c>
      <c r="F9" s="2">
        <v>0.84166666666666667</v>
      </c>
      <c r="G9" s="3" t="s">
        <v>35</v>
      </c>
      <c r="H9" s="3" t="s">
        <v>28</v>
      </c>
      <c r="I9" s="25" t="str">
        <f>VLOOKUP(H9,Tabla5[#All],4,FALSE)</f>
        <v>-31,4129883640337, -64,1681120522587</v>
      </c>
      <c r="J9" s="1">
        <v>34020</v>
      </c>
      <c r="K9" s="7">
        <f>INT((crimenes_cordoba_ampliado[[#This Row],[Fecha]]-crimenes_cordoba_ampliado[[#This Row],[Fecha Nac. Delincuente]])/365)</f>
        <v>30</v>
      </c>
      <c r="L9" s="7" t="str">
        <f>_xlfn.XLOOKUP(crimenes_cordoba_ampliado[[#This Row],[EDAD DELINCUENTE]],'Rango etareo'!$A$10:$A$25,'Rango etareo'!$B$10:$B$25,,-1)</f>
        <v>26 - 35</v>
      </c>
      <c r="M9" s="3" t="s">
        <v>22</v>
      </c>
      <c r="N9" s="3" t="str">
        <f>IF(crimenes_cordoba_ampliado[[#This Row],[Género Delincuente]]="Femenino","🚺","🚹")</f>
        <v>🚹</v>
      </c>
      <c r="O9">
        <v>4</v>
      </c>
      <c r="P9" s="1">
        <v>26903</v>
      </c>
      <c r="Q9" s="7">
        <f>INT((crimenes_cordoba_ampliado[[#This Row],[Fecha]]-crimenes_cordoba_ampliado[[#This Row],[Fecha Nac. Víctima]])/365)</f>
        <v>50</v>
      </c>
      <c r="R9" s="7" t="str">
        <f>_xlfn.XLOOKUP(crimenes_cordoba_ampliado[[#This Row],[EDAD VICTIMA]],'Rango etareo'!$A$2:$A$25,'Rango etareo'!$B$2:$B$25,,-1)</f>
        <v>46 - 55</v>
      </c>
      <c r="S9" s="3" t="s">
        <v>22</v>
      </c>
      <c r="T9" s="3" t="str">
        <f>IF(crimenes_cordoba_ampliado[[#This Row],[Género Víctima]]="Masculino","🚹","🚺")</f>
        <v>🚹</v>
      </c>
      <c r="U9">
        <v>1</v>
      </c>
      <c r="V9" s="3" t="s">
        <v>23</v>
      </c>
      <c r="W9" s="3" t="s">
        <v>36</v>
      </c>
      <c r="X9" s="3" t="s">
        <v>29</v>
      </c>
      <c r="Y9" s="3" t="s">
        <v>24</v>
      </c>
      <c r="Z9" s="3" t="s">
        <v>23</v>
      </c>
      <c r="AA9" s="3" t="s">
        <v>25</v>
      </c>
      <c r="AB9" s="3" t="str">
        <f>IF(crimenes_cordoba_ampliado[[#This Row],[Hubo Arresto]]="Sí", "Resuelto", "Pendiente")</f>
        <v>Resuelto</v>
      </c>
      <c r="AC9" s="3" t="s">
        <v>37</v>
      </c>
      <c r="AD9" s="3"/>
    </row>
    <row r="10" spans="1:33" x14ac:dyDescent="0.25">
      <c r="A10">
        <v>419</v>
      </c>
      <c r="B10" s="1">
        <v>42022</v>
      </c>
      <c r="C10" s="33">
        <f t="shared" si="0"/>
        <v>42022</v>
      </c>
      <c r="D10" s="34">
        <f t="shared" si="1"/>
        <v>42022</v>
      </c>
      <c r="E10" s="35" t="s">
        <v>1449</v>
      </c>
      <c r="F10" s="2">
        <v>0.45416666666666666</v>
      </c>
      <c r="G10" s="3" t="s">
        <v>27</v>
      </c>
      <c r="H10" s="3" t="s">
        <v>52</v>
      </c>
      <c r="I10" s="25" t="str">
        <f>VLOOKUP(H10,Tabla5[#All],4,FALSE)</f>
        <v>-31,3477902896523, -64,2644406169297</v>
      </c>
      <c r="J10" s="1">
        <v>23187</v>
      </c>
      <c r="K10" s="7">
        <f>INT((crimenes_cordoba_ampliado[[#This Row],[Fecha]]-crimenes_cordoba_ampliado[[#This Row],[Fecha Nac. Delincuente]])/365)</f>
        <v>51</v>
      </c>
      <c r="L10" s="7" t="str">
        <f>_xlfn.XLOOKUP(crimenes_cordoba_ampliado[[#This Row],[EDAD DELINCUENTE]],'Rango etareo'!$A$10:$A$25,'Rango etareo'!$B$10:$B$25,,-1)</f>
        <v>46 - 55</v>
      </c>
      <c r="M10" s="3" t="s">
        <v>21</v>
      </c>
      <c r="N10" s="3" t="str">
        <f>IF(crimenes_cordoba_ampliado[[#This Row],[Género Delincuente]]="Femenino","🚺","🚹")</f>
        <v>🚺</v>
      </c>
      <c r="O10">
        <v>2</v>
      </c>
      <c r="P10" s="1">
        <v>36187</v>
      </c>
      <c r="Q10" s="7">
        <f>INT((crimenes_cordoba_ampliado[[#This Row],[Fecha]]-crimenes_cordoba_ampliado[[#This Row],[Fecha Nac. Víctima]])/365)</f>
        <v>15</v>
      </c>
      <c r="R10" s="7" t="str">
        <f>_xlfn.XLOOKUP(crimenes_cordoba_ampliado[[#This Row],[EDAD VICTIMA]],'Rango etareo'!$A$2:$A$25,'Rango etareo'!$B$2:$B$25,,-1)</f>
        <v>&lt;=17</v>
      </c>
      <c r="S10" s="3" t="s">
        <v>22</v>
      </c>
      <c r="T10" s="3" t="str">
        <f>IF(crimenes_cordoba_ampliado[[#This Row],[Género Víctima]]="Masculino","🚹","🚺")</f>
        <v>🚹</v>
      </c>
      <c r="U10">
        <v>1</v>
      </c>
      <c r="V10" s="3" t="s">
        <v>25</v>
      </c>
      <c r="W10" s="3" t="s">
        <v>24</v>
      </c>
      <c r="X10" s="3" t="s">
        <v>24</v>
      </c>
      <c r="Y10" s="3" t="s">
        <v>69</v>
      </c>
      <c r="Z10" s="3" t="s">
        <v>23</v>
      </c>
      <c r="AA10" s="3" t="s">
        <v>25</v>
      </c>
      <c r="AB10" s="3" t="str">
        <f>IF(crimenes_cordoba_ampliado[[#This Row],[Hubo Arresto]]="Sí", "Resuelto", "Pendiente")</f>
        <v>Pendiente</v>
      </c>
      <c r="AC10" s="3" t="s">
        <v>24</v>
      </c>
      <c r="AD10" s="3"/>
    </row>
    <row r="11" spans="1:33" x14ac:dyDescent="0.25">
      <c r="A11">
        <v>7</v>
      </c>
      <c r="B11" s="1">
        <v>43685</v>
      </c>
      <c r="C11" s="33">
        <f t="shared" si="0"/>
        <v>43685</v>
      </c>
      <c r="D11" s="34">
        <f t="shared" si="1"/>
        <v>43685</v>
      </c>
      <c r="E11" s="35" t="s">
        <v>1454</v>
      </c>
      <c r="F11" s="2">
        <v>0.38124999999999998</v>
      </c>
      <c r="G11" s="3" t="s">
        <v>42</v>
      </c>
      <c r="H11" s="3" t="s">
        <v>32</v>
      </c>
      <c r="I11" s="25" t="str">
        <f>VLOOKUP(H11,Tabla5[#All],4,FALSE)</f>
        <v>-31,4148488101991, -64,1793406489438</v>
      </c>
      <c r="J11" s="1">
        <v>18929</v>
      </c>
      <c r="K11" s="7">
        <f>INT((crimenes_cordoba_ampliado[[#This Row],[Fecha]]-crimenes_cordoba_ampliado[[#This Row],[Fecha Nac. Delincuente]])/365)</f>
        <v>67</v>
      </c>
      <c r="L11" s="7" t="str">
        <f>_xlfn.XLOOKUP(crimenes_cordoba_ampliado[[#This Row],[EDAD DELINCUENTE]],'Rango etareo'!$A$10:$A$25,'Rango etareo'!$B$10:$B$25,,-1)</f>
        <v>&gt;65</v>
      </c>
      <c r="M11" s="3" t="s">
        <v>21</v>
      </c>
      <c r="N11" s="3" t="str">
        <f>IF(crimenes_cordoba_ampliado[[#This Row],[Género Delincuente]]="Femenino","🚺","🚹")</f>
        <v>🚺</v>
      </c>
      <c r="O11">
        <v>3</v>
      </c>
      <c r="P11" s="1">
        <v>33574</v>
      </c>
      <c r="Q11" s="7">
        <f>INT((crimenes_cordoba_ampliado[[#This Row],[Fecha]]-crimenes_cordoba_ampliado[[#This Row],[Fecha Nac. Víctima]])/365)</f>
        <v>27</v>
      </c>
      <c r="R11" s="7" t="str">
        <f>_xlfn.XLOOKUP(crimenes_cordoba_ampliado[[#This Row],[EDAD VICTIMA]],'Rango etareo'!$A$2:$A$25,'Rango etareo'!$B$2:$B$25,,-1)</f>
        <v>26 - 35</v>
      </c>
      <c r="S11" s="3" t="s">
        <v>21</v>
      </c>
      <c r="T11" s="3" t="str">
        <f>IF(crimenes_cordoba_ampliado[[#This Row],[Género Víctima]]="Masculino","🚹","🚺")</f>
        <v>🚺</v>
      </c>
      <c r="U11">
        <v>1</v>
      </c>
      <c r="V11" s="3" t="s">
        <v>23</v>
      </c>
      <c r="W11" s="3" t="s">
        <v>24</v>
      </c>
      <c r="X11" s="3" t="s">
        <v>24</v>
      </c>
      <c r="Y11" s="3" t="s">
        <v>43</v>
      </c>
      <c r="Z11" s="3" t="s">
        <v>25</v>
      </c>
      <c r="AA11" s="3" t="s">
        <v>23</v>
      </c>
      <c r="AB11" s="3" t="str">
        <f>IF(crimenes_cordoba_ampliado[[#This Row],[Hubo Arresto]]="Sí", "Resuelto", "Pendiente")</f>
        <v>Resuelto</v>
      </c>
      <c r="AC11" s="3" t="s">
        <v>44</v>
      </c>
      <c r="AD11" s="3"/>
    </row>
    <row r="12" spans="1:33" x14ac:dyDescent="0.25">
      <c r="A12">
        <v>9</v>
      </c>
      <c r="B12" s="1">
        <v>45164</v>
      </c>
      <c r="C12" s="33">
        <f t="shared" si="0"/>
        <v>45164</v>
      </c>
      <c r="D12" s="34">
        <f t="shared" si="1"/>
        <v>45164</v>
      </c>
      <c r="E12" s="35" t="s">
        <v>1451</v>
      </c>
      <c r="F12" s="2">
        <v>0.53888888888888886</v>
      </c>
      <c r="G12" s="3" t="s">
        <v>45</v>
      </c>
      <c r="H12" s="3" t="s">
        <v>20</v>
      </c>
      <c r="I12" s="25" t="str">
        <f>VLOOKUP(H12,Tabla5[#All],4,FALSE)</f>
        <v>-31,4800162965848, -64,2094200976892</v>
      </c>
      <c r="J12" s="1">
        <v>21829</v>
      </c>
      <c r="K12" s="7">
        <f>INT((crimenes_cordoba_ampliado[[#This Row],[Fecha]]-crimenes_cordoba_ampliado[[#This Row],[Fecha Nac. Delincuente]])/365)</f>
        <v>63</v>
      </c>
      <c r="L12" s="7" t="str">
        <f>_xlfn.XLOOKUP(crimenes_cordoba_ampliado[[#This Row],[EDAD DELINCUENTE]],'Rango etareo'!$A$10:$A$25,'Rango etareo'!$B$10:$B$25,,-1)</f>
        <v>56 - 65</v>
      </c>
      <c r="M12" s="3" t="s">
        <v>21</v>
      </c>
      <c r="N12" s="3" t="str">
        <f>IF(crimenes_cordoba_ampliado[[#This Row],[Género Delincuente]]="Femenino","🚺","🚹")</f>
        <v>🚺</v>
      </c>
      <c r="O12">
        <v>3</v>
      </c>
      <c r="P12" s="1">
        <v>20165</v>
      </c>
      <c r="Q12" s="7">
        <f>INT((crimenes_cordoba_ampliado[[#This Row],[Fecha]]-crimenes_cordoba_ampliado[[#This Row],[Fecha Nac. Víctima]])/365)</f>
        <v>68</v>
      </c>
      <c r="R12" s="7" t="str">
        <f>_xlfn.XLOOKUP(crimenes_cordoba_ampliado[[#This Row],[EDAD VICTIMA]],'Rango etareo'!$A$2:$A$25,'Rango etareo'!$B$2:$B$25,,-1)</f>
        <v>&gt;65</v>
      </c>
      <c r="S12" s="3" t="s">
        <v>21</v>
      </c>
      <c r="T12" s="3" t="str">
        <f>IF(crimenes_cordoba_ampliado[[#This Row],[Género Víctima]]="Masculino","🚹","🚺")</f>
        <v>🚺</v>
      </c>
      <c r="U12">
        <v>3</v>
      </c>
      <c r="V12" s="3" t="s">
        <v>23</v>
      </c>
      <c r="W12" s="3" t="s">
        <v>24</v>
      </c>
      <c r="X12" s="3" t="s">
        <v>24</v>
      </c>
      <c r="Y12" s="3" t="s">
        <v>43</v>
      </c>
      <c r="Z12" s="3" t="s">
        <v>25</v>
      </c>
      <c r="AA12" s="3" t="s">
        <v>25</v>
      </c>
      <c r="AB12" s="3" t="str">
        <f>IF(crimenes_cordoba_ampliado[[#This Row],[Hubo Arresto]]="Sí", "Resuelto", "Pendiente")</f>
        <v>Resuelto</v>
      </c>
      <c r="AC12" s="3" t="s">
        <v>47</v>
      </c>
      <c r="AD12" s="3"/>
    </row>
    <row r="13" spans="1:33" x14ac:dyDescent="0.25">
      <c r="A13">
        <v>355</v>
      </c>
      <c r="B13" s="1">
        <v>42040</v>
      </c>
      <c r="C13" s="33">
        <f t="shared" si="0"/>
        <v>42040</v>
      </c>
      <c r="D13" s="34">
        <f t="shared" si="1"/>
        <v>42040</v>
      </c>
      <c r="E13" s="35" t="s">
        <v>1454</v>
      </c>
      <c r="F13" s="2">
        <v>0.82777777777777772</v>
      </c>
      <c r="G13" s="3" t="s">
        <v>81</v>
      </c>
      <c r="H13" s="3" t="s">
        <v>62</v>
      </c>
      <c r="I13" s="25" t="str">
        <f>VLOOKUP(H13,Tabla5[#All],4,FALSE)</f>
        <v>-31,3909520937826, -64,1836424491715</v>
      </c>
      <c r="J13" s="1">
        <v>19567</v>
      </c>
      <c r="K13" s="7">
        <f>INT((crimenes_cordoba_ampliado[[#This Row],[Fecha]]-crimenes_cordoba_ampliado[[#This Row],[Fecha Nac. Delincuente]])/365)</f>
        <v>61</v>
      </c>
      <c r="L13" s="7" t="str">
        <f>_xlfn.XLOOKUP(crimenes_cordoba_ampliado[[#This Row],[EDAD DELINCUENTE]],'Rango etareo'!$A$10:$A$25,'Rango etareo'!$B$10:$B$25,,-1)</f>
        <v>56 - 65</v>
      </c>
      <c r="M13" s="3" t="s">
        <v>21</v>
      </c>
      <c r="N13" s="3" t="str">
        <f>IF(crimenes_cordoba_ampliado[[#This Row],[Género Delincuente]]="Femenino","🚺","🚹")</f>
        <v>🚺</v>
      </c>
      <c r="O13">
        <v>5</v>
      </c>
      <c r="P13" s="1">
        <v>18842</v>
      </c>
      <c r="Q13" s="7">
        <f>INT((crimenes_cordoba_ampliado[[#This Row],[Fecha]]-crimenes_cordoba_ampliado[[#This Row],[Fecha Nac. Víctima]])/365)</f>
        <v>63</v>
      </c>
      <c r="R13" s="7" t="str">
        <f>_xlfn.XLOOKUP(crimenes_cordoba_ampliado[[#This Row],[EDAD VICTIMA]],'Rango etareo'!$A$2:$A$25,'Rango etareo'!$B$2:$B$25,,-1)</f>
        <v>56 - 65</v>
      </c>
      <c r="S13" s="3" t="s">
        <v>21</v>
      </c>
      <c r="T13" s="3" t="str">
        <f>IF(crimenes_cordoba_ampliado[[#This Row],[Género Víctima]]="Masculino","🚹","🚺")</f>
        <v>🚺</v>
      </c>
      <c r="U13">
        <v>2</v>
      </c>
      <c r="V13" s="3" t="s">
        <v>25</v>
      </c>
      <c r="W13" s="3" t="s">
        <v>24</v>
      </c>
      <c r="X13" s="3" t="s">
        <v>24</v>
      </c>
      <c r="Y13" s="3" t="s">
        <v>133</v>
      </c>
      <c r="Z13" s="3" t="s">
        <v>25</v>
      </c>
      <c r="AA13" s="3" t="s">
        <v>25</v>
      </c>
      <c r="AB13" s="3" t="str">
        <f>IF(crimenes_cordoba_ampliado[[#This Row],[Hubo Arresto]]="Sí", "Resuelto", "Pendiente")</f>
        <v>Pendiente</v>
      </c>
      <c r="AC13" s="3" t="s">
        <v>24</v>
      </c>
      <c r="AD13" s="3"/>
    </row>
    <row r="14" spans="1:33" x14ac:dyDescent="0.25">
      <c r="A14">
        <v>754</v>
      </c>
      <c r="B14" s="1">
        <v>42048</v>
      </c>
      <c r="C14" s="33">
        <f t="shared" si="0"/>
        <v>42048</v>
      </c>
      <c r="D14" s="34">
        <f t="shared" si="1"/>
        <v>42048</v>
      </c>
      <c r="E14" s="35" t="s">
        <v>1455</v>
      </c>
      <c r="F14" s="2">
        <v>0.59305555555555556</v>
      </c>
      <c r="G14" s="3" t="s">
        <v>38</v>
      </c>
      <c r="H14" s="3" t="s">
        <v>20</v>
      </c>
      <c r="I14" s="25" t="str">
        <f>VLOOKUP(H14,Tabla5[#All],4,FALSE)</f>
        <v>-31,4800162965848, -64,2094200976892</v>
      </c>
      <c r="J14" s="1">
        <v>32535</v>
      </c>
      <c r="K14" s="7">
        <f>INT((crimenes_cordoba_ampliado[[#This Row],[Fecha]]-crimenes_cordoba_ampliado[[#This Row],[Fecha Nac. Delincuente]])/365)</f>
        <v>26</v>
      </c>
      <c r="L14" s="7" t="str">
        <f>_xlfn.XLOOKUP(crimenes_cordoba_ampliado[[#This Row],[EDAD DELINCUENTE]],'Rango etareo'!$A$10:$A$25,'Rango etareo'!$B$10:$B$25,,-1)</f>
        <v>26 - 35</v>
      </c>
      <c r="M14" s="3" t="s">
        <v>21</v>
      </c>
      <c r="N14" s="3" t="str">
        <f>IF(crimenes_cordoba_ampliado[[#This Row],[Género Delincuente]]="Femenino","🚺","🚹")</f>
        <v>🚺</v>
      </c>
      <c r="O14">
        <v>1</v>
      </c>
      <c r="P14" s="1">
        <v>25824</v>
      </c>
      <c r="Q14" s="7">
        <f>INT((crimenes_cordoba_ampliado[[#This Row],[Fecha]]-crimenes_cordoba_ampliado[[#This Row],[Fecha Nac. Víctima]])/365)</f>
        <v>44</v>
      </c>
      <c r="R14" s="7" t="str">
        <f>_xlfn.XLOOKUP(crimenes_cordoba_ampliado[[#This Row],[EDAD VICTIMA]],'Rango etareo'!$A$2:$A$25,'Rango etareo'!$B$2:$B$25,,-1)</f>
        <v>36 - 45</v>
      </c>
      <c r="S14" s="3" t="s">
        <v>22</v>
      </c>
      <c r="T14" s="3" t="str">
        <f>IF(crimenes_cordoba_ampliado[[#This Row],[Género Víctima]]="Masculino","🚹","🚺")</f>
        <v>🚹</v>
      </c>
      <c r="U14">
        <v>3</v>
      </c>
      <c r="V14" s="3" t="s">
        <v>25</v>
      </c>
      <c r="W14" s="3" t="s">
        <v>24</v>
      </c>
      <c r="X14" s="3" t="s">
        <v>24</v>
      </c>
      <c r="Y14" s="3" t="s">
        <v>53</v>
      </c>
      <c r="Z14" s="3" t="s">
        <v>25</v>
      </c>
      <c r="AA14" s="3" t="s">
        <v>25</v>
      </c>
      <c r="AB14" s="3" t="str">
        <f>IF(crimenes_cordoba_ampliado[[#This Row],[Hubo Arresto]]="Sí", "Resuelto", "Pendiente")</f>
        <v>Pendiente</v>
      </c>
      <c r="AC14" s="3" t="s">
        <v>24</v>
      </c>
      <c r="AD14" s="3"/>
    </row>
    <row r="15" spans="1:33" x14ac:dyDescent="0.25">
      <c r="A15">
        <v>12</v>
      </c>
      <c r="B15" s="1">
        <v>42873</v>
      </c>
      <c r="C15" s="33">
        <f t="shared" si="0"/>
        <v>42873</v>
      </c>
      <c r="D15" s="34">
        <f t="shared" si="1"/>
        <v>42873</v>
      </c>
      <c r="E15" s="35" t="s">
        <v>1454</v>
      </c>
      <c r="F15" s="2">
        <v>0.69722222222222219</v>
      </c>
      <c r="G15" s="3" t="s">
        <v>54</v>
      </c>
      <c r="H15" s="3" t="s">
        <v>55</v>
      </c>
      <c r="I15" s="25" t="str">
        <f>VLOOKUP(H15,Tabla5[#All],4,FALSE)</f>
        <v>-31,4015892433235, -64,160442876477</v>
      </c>
      <c r="J15" s="1">
        <v>30989</v>
      </c>
      <c r="K15" s="7">
        <f>INT((crimenes_cordoba_ampliado[[#This Row],[Fecha]]-crimenes_cordoba_ampliado[[#This Row],[Fecha Nac. Delincuente]])/365)</f>
        <v>32</v>
      </c>
      <c r="L15" s="7" t="str">
        <f>_xlfn.XLOOKUP(crimenes_cordoba_ampliado[[#This Row],[EDAD DELINCUENTE]],'Rango etareo'!$A$10:$A$25,'Rango etareo'!$B$10:$B$25,,-1)</f>
        <v>26 - 35</v>
      </c>
      <c r="M15" s="3" t="s">
        <v>22</v>
      </c>
      <c r="N15" s="3" t="str">
        <f>IF(crimenes_cordoba_ampliado[[#This Row],[Género Delincuente]]="Femenino","🚺","🚹")</f>
        <v>🚹</v>
      </c>
      <c r="O15">
        <v>5</v>
      </c>
      <c r="P15" s="1">
        <v>22047</v>
      </c>
      <c r="Q15" s="7">
        <f>INT((crimenes_cordoba_ampliado[[#This Row],[Fecha]]-crimenes_cordoba_ampliado[[#This Row],[Fecha Nac. Víctima]])/365)</f>
        <v>57</v>
      </c>
      <c r="R15" s="7" t="str">
        <f>_xlfn.XLOOKUP(crimenes_cordoba_ampliado[[#This Row],[EDAD VICTIMA]],'Rango etareo'!$A$2:$A$25,'Rango etareo'!$B$2:$B$25,,-1)</f>
        <v>56 - 65</v>
      </c>
      <c r="S15" s="3" t="s">
        <v>21</v>
      </c>
      <c r="T15" s="3" t="str">
        <f>IF(crimenes_cordoba_ampliado[[#This Row],[Género Víctima]]="Masculino","🚹","🚺")</f>
        <v>🚺</v>
      </c>
      <c r="U15">
        <v>1</v>
      </c>
      <c r="V15" s="3" t="s">
        <v>23</v>
      </c>
      <c r="W15" s="3" t="s">
        <v>24</v>
      </c>
      <c r="X15" s="3" t="s">
        <v>24</v>
      </c>
      <c r="Y15" s="3" t="s">
        <v>56</v>
      </c>
      <c r="Z15" s="3" t="s">
        <v>25</v>
      </c>
      <c r="AA15" s="3" t="s">
        <v>25</v>
      </c>
      <c r="AB15" s="3" t="str">
        <f>IF(crimenes_cordoba_ampliado[[#This Row],[Hubo Arresto]]="Sí", "Resuelto", "Pendiente")</f>
        <v>Resuelto</v>
      </c>
      <c r="AC15" s="3" t="s">
        <v>57</v>
      </c>
      <c r="AD15" s="3"/>
    </row>
    <row r="16" spans="1:33" x14ac:dyDescent="0.25">
      <c r="A16">
        <v>13</v>
      </c>
      <c r="B16" s="1">
        <v>43863</v>
      </c>
      <c r="C16" s="33">
        <f t="shared" si="0"/>
        <v>43863</v>
      </c>
      <c r="D16" s="34">
        <f t="shared" si="1"/>
        <v>43863</v>
      </c>
      <c r="E16" s="35" t="s">
        <v>1449</v>
      </c>
      <c r="F16" s="2">
        <v>0.68402777777777779</v>
      </c>
      <c r="G16" s="3" t="s">
        <v>19</v>
      </c>
      <c r="H16" s="3" t="s">
        <v>58</v>
      </c>
      <c r="I16" s="25" t="str">
        <f>VLOOKUP(H16,Tabla5[#All],4,FALSE)</f>
        <v>-31,423018915313, -64,1493562190664</v>
      </c>
      <c r="J16" s="1">
        <v>24585</v>
      </c>
      <c r="K16" s="7">
        <f>INT((crimenes_cordoba_ampliado[[#This Row],[Fecha]]-crimenes_cordoba_ampliado[[#This Row],[Fecha Nac. Delincuente]])/365)</f>
        <v>52</v>
      </c>
      <c r="L16" s="7" t="str">
        <f>_xlfn.XLOOKUP(crimenes_cordoba_ampliado[[#This Row],[EDAD DELINCUENTE]],'Rango etareo'!$A$10:$A$25,'Rango etareo'!$B$10:$B$25,,-1)</f>
        <v>46 - 55</v>
      </c>
      <c r="M16" s="3" t="s">
        <v>22</v>
      </c>
      <c r="N16" s="3" t="str">
        <f>IF(crimenes_cordoba_ampliado[[#This Row],[Género Delincuente]]="Femenino","🚺","🚹")</f>
        <v>🚹</v>
      </c>
      <c r="O16">
        <v>5</v>
      </c>
      <c r="P16" s="1">
        <v>15222</v>
      </c>
      <c r="Q16" s="7">
        <f>INT((crimenes_cordoba_ampliado[[#This Row],[Fecha]]-crimenes_cordoba_ampliado[[#This Row],[Fecha Nac. Víctima]])/365)</f>
        <v>78</v>
      </c>
      <c r="R16" s="7" t="str">
        <f>_xlfn.XLOOKUP(crimenes_cordoba_ampliado[[#This Row],[EDAD VICTIMA]],'Rango etareo'!$A$2:$A$25,'Rango etareo'!$B$2:$B$25,,-1)</f>
        <v>&gt;65</v>
      </c>
      <c r="S16" s="3" t="s">
        <v>22</v>
      </c>
      <c r="T16" s="3" t="str">
        <f>IF(crimenes_cordoba_ampliado[[#This Row],[Género Víctima]]="Masculino","🚹","🚺")</f>
        <v>🚹</v>
      </c>
      <c r="U16">
        <v>3</v>
      </c>
      <c r="V16" s="3" t="s">
        <v>23</v>
      </c>
      <c r="W16" s="3" t="s">
        <v>24</v>
      </c>
      <c r="X16" s="3" t="s">
        <v>24</v>
      </c>
      <c r="Y16" s="3" t="s">
        <v>53</v>
      </c>
      <c r="Z16" s="3" t="s">
        <v>25</v>
      </c>
      <c r="AA16" s="3" t="s">
        <v>25</v>
      </c>
      <c r="AB16" s="3" t="str">
        <f>IF(crimenes_cordoba_ampliado[[#This Row],[Hubo Arresto]]="Sí", "Resuelto", "Pendiente")</f>
        <v>Resuelto</v>
      </c>
      <c r="AC16" s="3" t="s">
        <v>59</v>
      </c>
      <c r="AD16" s="3"/>
    </row>
    <row r="17" spans="1:30" x14ac:dyDescent="0.25">
      <c r="A17">
        <v>14</v>
      </c>
      <c r="B17" s="1">
        <v>44355</v>
      </c>
      <c r="C17" s="33">
        <f t="shared" si="0"/>
        <v>44355</v>
      </c>
      <c r="D17" s="34">
        <f t="shared" si="1"/>
        <v>44355</v>
      </c>
      <c r="E17" s="35" t="s">
        <v>1453</v>
      </c>
      <c r="F17" s="2">
        <v>0.16458333333333333</v>
      </c>
      <c r="G17" s="3" t="s">
        <v>51</v>
      </c>
      <c r="H17" s="3" t="s">
        <v>60</v>
      </c>
      <c r="I17" s="25" t="str">
        <f>VLOOKUP(H17,Tabla5[#All],4,FALSE)</f>
        <v>-31,4076397196409, -64,2020170430678</v>
      </c>
      <c r="J17" s="1">
        <v>18594</v>
      </c>
      <c r="K17" s="7">
        <f>INT((crimenes_cordoba_ampliado[[#This Row],[Fecha]]-crimenes_cordoba_ampliado[[#This Row],[Fecha Nac. Delincuente]])/365)</f>
        <v>70</v>
      </c>
      <c r="L17" s="7" t="str">
        <f>_xlfn.XLOOKUP(crimenes_cordoba_ampliado[[#This Row],[EDAD DELINCUENTE]],'Rango etareo'!$A$10:$A$25,'Rango etareo'!$B$10:$B$25,,-1)</f>
        <v>&gt;65</v>
      </c>
      <c r="M17" s="3" t="s">
        <v>21</v>
      </c>
      <c r="N17" s="3" t="str">
        <f>IF(crimenes_cordoba_ampliado[[#This Row],[Género Delincuente]]="Femenino","🚺","🚹")</f>
        <v>🚺</v>
      </c>
      <c r="O17">
        <v>2</v>
      </c>
      <c r="P17" s="1">
        <v>33113</v>
      </c>
      <c r="Q17" s="7">
        <f>INT((crimenes_cordoba_ampliado[[#This Row],[Fecha]]-crimenes_cordoba_ampliado[[#This Row],[Fecha Nac. Víctima]])/365)</f>
        <v>30</v>
      </c>
      <c r="R17" s="7" t="str">
        <f>_xlfn.XLOOKUP(crimenes_cordoba_ampliado[[#This Row],[EDAD VICTIMA]],'Rango etareo'!$A$2:$A$25,'Rango etareo'!$B$2:$B$25,,-1)</f>
        <v>26 - 35</v>
      </c>
      <c r="S17" s="3" t="s">
        <v>22</v>
      </c>
      <c r="T17" s="3" t="str">
        <f>IF(crimenes_cordoba_ampliado[[#This Row],[Género Víctima]]="Masculino","🚹","🚺")</f>
        <v>🚹</v>
      </c>
      <c r="U17">
        <v>3</v>
      </c>
      <c r="V17" s="3" t="s">
        <v>23</v>
      </c>
      <c r="W17" s="3" t="s">
        <v>24</v>
      </c>
      <c r="X17" s="3" t="s">
        <v>50</v>
      </c>
      <c r="Y17" s="3" t="s">
        <v>24</v>
      </c>
      <c r="Z17" s="3" t="s">
        <v>25</v>
      </c>
      <c r="AA17" s="3" t="s">
        <v>25</v>
      </c>
      <c r="AB17" s="3" t="str">
        <f>IF(crimenes_cordoba_ampliado[[#This Row],[Hubo Arresto]]="Sí", "Resuelto", "Pendiente")</f>
        <v>Resuelto</v>
      </c>
      <c r="AC17" s="3" t="s">
        <v>61</v>
      </c>
      <c r="AD17" s="3"/>
    </row>
    <row r="18" spans="1:30" x14ac:dyDescent="0.25">
      <c r="A18">
        <v>609</v>
      </c>
      <c r="B18" s="1">
        <v>42061</v>
      </c>
      <c r="C18" s="33">
        <f t="shared" si="0"/>
        <v>42061</v>
      </c>
      <c r="D18" s="34">
        <f t="shared" si="1"/>
        <v>42061</v>
      </c>
      <c r="E18" s="35" t="s">
        <v>1454</v>
      </c>
      <c r="F18" s="2">
        <v>0.76944444444444449</v>
      </c>
      <c r="G18" s="3" t="s">
        <v>35</v>
      </c>
      <c r="H18" s="3" t="s">
        <v>65</v>
      </c>
      <c r="I18" s="25" t="str">
        <f>VLOOKUP(H18,Tabla5[#All],4,FALSE)</f>
        <v>-31,4285567311661, -64,1853198281007</v>
      </c>
      <c r="J18" s="1">
        <v>24753</v>
      </c>
      <c r="K18" s="7">
        <f>INT((crimenes_cordoba_ampliado[[#This Row],[Fecha]]-crimenes_cordoba_ampliado[[#This Row],[Fecha Nac. Delincuente]])/365)</f>
        <v>47</v>
      </c>
      <c r="L18" s="7" t="str">
        <f>_xlfn.XLOOKUP(crimenes_cordoba_ampliado[[#This Row],[EDAD DELINCUENTE]],'Rango etareo'!$A$10:$A$25,'Rango etareo'!$B$10:$B$25,,-1)</f>
        <v>46 - 55</v>
      </c>
      <c r="M18" s="3" t="s">
        <v>21</v>
      </c>
      <c r="N18" s="3" t="str">
        <f>IF(crimenes_cordoba_ampliado[[#This Row],[Género Delincuente]]="Femenino","🚺","🚹")</f>
        <v>🚺</v>
      </c>
      <c r="O18">
        <v>1</v>
      </c>
      <c r="P18" s="1">
        <v>21040</v>
      </c>
      <c r="Q18" s="7">
        <f>INT((crimenes_cordoba_ampliado[[#This Row],[Fecha]]-crimenes_cordoba_ampliado[[#This Row],[Fecha Nac. Víctima]])/365)</f>
        <v>57</v>
      </c>
      <c r="R18" s="7" t="str">
        <f>_xlfn.XLOOKUP(crimenes_cordoba_ampliado[[#This Row],[EDAD VICTIMA]],'Rango etareo'!$A$2:$A$25,'Rango etareo'!$B$2:$B$25,,-1)</f>
        <v>56 - 65</v>
      </c>
      <c r="S18" s="3" t="s">
        <v>21</v>
      </c>
      <c r="T18" s="3" t="str">
        <f>IF(crimenes_cordoba_ampliado[[#This Row],[Género Víctima]]="Masculino","🚹","🚺")</f>
        <v>🚺</v>
      </c>
      <c r="U18">
        <v>1</v>
      </c>
      <c r="V18" s="3" t="s">
        <v>25</v>
      </c>
      <c r="W18" s="3" t="s">
        <v>71</v>
      </c>
      <c r="X18" s="3" t="s">
        <v>24</v>
      </c>
      <c r="Y18" s="3" t="s">
        <v>64</v>
      </c>
      <c r="Z18" s="3" t="s">
        <v>23</v>
      </c>
      <c r="AA18" s="3" t="s">
        <v>23</v>
      </c>
      <c r="AB18" s="3" t="str">
        <f>IF(crimenes_cordoba_ampliado[[#This Row],[Hubo Arresto]]="Sí", "Resuelto", "Pendiente")</f>
        <v>Pendiente</v>
      </c>
      <c r="AC18" s="3" t="s">
        <v>24</v>
      </c>
      <c r="AD18" s="3"/>
    </row>
    <row r="19" spans="1:30" x14ac:dyDescent="0.25">
      <c r="A19">
        <v>825</v>
      </c>
      <c r="B19" s="1">
        <v>42061</v>
      </c>
      <c r="C19" s="33">
        <f t="shared" si="0"/>
        <v>42061</v>
      </c>
      <c r="D19" s="34">
        <f t="shared" si="1"/>
        <v>42061</v>
      </c>
      <c r="E19" s="35" t="s">
        <v>1454</v>
      </c>
      <c r="F19" s="2">
        <v>0.27152777777777776</v>
      </c>
      <c r="G19" s="3" t="s">
        <v>45</v>
      </c>
      <c r="H19" s="3" t="s">
        <v>28</v>
      </c>
      <c r="I19" s="25" t="str">
        <f>VLOOKUP(H19,Tabla5[#All],4,FALSE)</f>
        <v>-31,4129883640337, -64,1681120522587</v>
      </c>
      <c r="J19" s="1">
        <v>31981</v>
      </c>
      <c r="K19" s="7">
        <f>INT((crimenes_cordoba_ampliado[[#This Row],[Fecha]]-crimenes_cordoba_ampliado[[#This Row],[Fecha Nac. Delincuente]])/365)</f>
        <v>27</v>
      </c>
      <c r="L19" s="7" t="str">
        <f>_xlfn.XLOOKUP(crimenes_cordoba_ampliado[[#This Row],[EDAD DELINCUENTE]],'Rango etareo'!$A$10:$A$25,'Rango etareo'!$B$10:$B$25,,-1)</f>
        <v>26 - 35</v>
      </c>
      <c r="M19" s="3" t="s">
        <v>22</v>
      </c>
      <c r="N19" s="3" t="str">
        <f>IF(crimenes_cordoba_ampliado[[#This Row],[Género Delincuente]]="Femenino","🚺","🚹")</f>
        <v>🚹</v>
      </c>
      <c r="O19">
        <v>3</v>
      </c>
      <c r="P19" s="1">
        <v>38186</v>
      </c>
      <c r="Q19" s="7">
        <f>INT((crimenes_cordoba_ampliado[[#This Row],[Fecha]]-crimenes_cordoba_ampliado[[#This Row],[Fecha Nac. Víctima]])/365)</f>
        <v>10</v>
      </c>
      <c r="R19" s="7" t="str">
        <f>_xlfn.XLOOKUP(crimenes_cordoba_ampliado[[#This Row],[EDAD VICTIMA]],'Rango etareo'!$A$2:$A$25,'Rango etareo'!$B$2:$B$25,,-1)</f>
        <v>&lt;=17</v>
      </c>
      <c r="S19" s="3" t="s">
        <v>22</v>
      </c>
      <c r="T19" s="3" t="str">
        <f>IF(crimenes_cordoba_ampliado[[#This Row],[Género Víctima]]="Masculino","🚹","🚺")</f>
        <v>🚹</v>
      </c>
      <c r="U19">
        <v>1</v>
      </c>
      <c r="V19" s="3" t="s">
        <v>25</v>
      </c>
      <c r="W19" s="3" t="s">
        <v>24</v>
      </c>
      <c r="X19" s="3" t="s">
        <v>24</v>
      </c>
      <c r="Y19" s="3" t="s">
        <v>53</v>
      </c>
      <c r="Z19" s="3" t="s">
        <v>23</v>
      </c>
      <c r="AA19" s="3" t="s">
        <v>25</v>
      </c>
      <c r="AB19" s="3" t="str">
        <f>IF(crimenes_cordoba_ampliado[[#This Row],[Hubo Arresto]]="Sí", "Resuelto", "Pendiente")</f>
        <v>Pendiente</v>
      </c>
      <c r="AC19" s="3" t="s">
        <v>24</v>
      </c>
      <c r="AD19" s="3"/>
    </row>
    <row r="20" spans="1:30" x14ac:dyDescent="0.25">
      <c r="A20">
        <v>158</v>
      </c>
      <c r="B20" s="1">
        <v>42065</v>
      </c>
      <c r="C20" s="33">
        <f t="shared" si="0"/>
        <v>42065</v>
      </c>
      <c r="D20" s="34">
        <f t="shared" si="1"/>
        <v>42065</v>
      </c>
      <c r="E20" s="35" t="s">
        <v>1452</v>
      </c>
      <c r="F20" s="2">
        <v>0.95347222222222228</v>
      </c>
      <c r="G20" s="3" t="s">
        <v>27</v>
      </c>
      <c r="H20" s="3" t="s">
        <v>58</v>
      </c>
      <c r="I20" s="25" t="str">
        <f>VLOOKUP(H20,Tabla5[#All],4,FALSE)</f>
        <v>-31,423018915313, -64,1493562190664</v>
      </c>
      <c r="J20" s="1">
        <v>30844</v>
      </c>
      <c r="K20" s="7">
        <f>INT((crimenes_cordoba_ampliado[[#This Row],[Fecha]]-crimenes_cordoba_ampliado[[#This Row],[Fecha Nac. Delincuente]])/365)</f>
        <v>30</v>
      </c>
      <c r="L20" s="7" t="str">
        <f>_xlfn.XLOOKUP(crimenes_cordoba_ampliado[[#This Row],[EDAD DELINCUENTE]],'Rango etareo'!$A$10:$A$25,'Rango etareo'!$B$10:$B$25,,-1)</f>
        <v>26 - 35</v>
      </c>
      <c r="M20" s="3" t="s">
        <v>21</v>
      </c>
      <c r="N20" s="3" t="str">
        <f>IF(crimenes_cordoba_ampliado[[#This Row],[Género Delincuente]]="Femenino","🚺","🚹")</f>
        <v>🚺</v>
      </c>
      <c r="O20">
        <v>1</v>
      </c>
      <c r="P20" s="1">
        <v>21040</v>
      </c>
      <c r="Q20" s="7">
        <f>INT((crimenes_cordoba_ampliado[[#This Row],[Fecha]]-crimenes_cordoba_ampliado[[#This Row],[Fecha Nac. Víctima]])/365)</f>
        <v>57</v>
      </c>
      <c r="R20" s="7" t="str">
        <f>_xlfn.XLOOKUP(crimenes_cordoba_ampliado[[#This Row],[EDAD VICTIMA]],'Rango etareo'!$A$2:$A$25,'Rango etareo'!$B$2:$B$25,,-1)</f>
        <v>56 - 65</v>
      </c>
      <c r="S20" s="3" t="s">
        <v>22</v>
      </c>
      <c r="T20" s="3" t="str">
        <f>IF(crimenes_cordoba_ampliado[[#This Row],[Género Víctima]]="Masculino","🚹","🚺")</f>
        <v>🚹</v>
      </c>
      <c r="U20">
        <v>1</v>
      </c>
      <c r="V20" s="3" t="s">
        <v>25</v>
      </c>
      <c r="W20" s="3" t="s">
        <v>63</v>
      </c>
      <c r="X20" s="3" t="s">
        <v>24</v>
      </c>
      <c r="Y20" s="3" t="s">
        <v>64</v>
      </c>
      <c r="Z20" s="3" t="s">
        <v>25</v>
      </c>
      <c r="AA20" s="3" t="s">
        <v>25</v>
      </c>
      <c r="AB20" s="3" t="str">
        <f>IF(crimenes_cordoba_ampliado[[#This Row],[Hubo Arresto]]="Sí", "Resuelto", "Pendiente")</f>
        <v>Pendiente</v>
      </c>
      <c r="AC20" s="3" t="s">
        <v>24</v>
      </c>
      <c r="AD20" s="3"/>
    </row>
    <row r="21" spans="1:30" x14ac:dyDescent="0.25">
      <c r="A21">
        <v>16</v>
      </c>
      <c r="B21" s="1">
        <v>45256</v>
      </c>
      <c r="C21" s="33">
        <f t="shared" si="0"/>
        <v>45256</v>
      </c>
      <c r="D21" s="34">
        <f t="shared" si="1"/>
        <v>45256</v>
      </c>
      <c r="E21" s="35" t="s">
        <v>1449</v>
      </c>
      <c r="F21" s="2">
        <v>0.23680555555555555</v>
      </c>
      <c r="G21" s="3" t="s">
        <v>48</v>
      </c>
      <c r="H21" s="3" t="s">
        <v>65</v>
      </c>
      <c r="I21" s="25" t="str">
        <f>VLOOKUP(H21,Tabla5[#All],4,FALSE)</f>
        <v>-31,4285567311661, -64,1853198281007</v>
      </c>
      <c r="J21" s="1">
        <v>36320</v>
      </c>
      <c r="K21" s="7">
        <f>INT((crimenes_cordoba_ampliado[[#This Row],[Fecha]]-crimenes_cordoba_ampliado[[#This Row],[Fecha Nac. Delincuente]])/365)</f>
        <v>24</v>
      </c>
      <c r="L21" s="7" t="str">
        <f>_xlfn.XLOOKUP(crimenes_cordoba_ampliado[[#This Row],[EDAD DELINCUENTE]],'Rango etareo'!$A$10:$A$25,'Rango etareo'!$B$10:$B$25,,-1)</f>
        <v>18 - 25</v>
      </c>
      <c r="M21" s="3" t="s">
        <v>22</v>
      </c>
      <c r="N21" s="3" t="str">
        <f>IF(crimenes_cordoba_ampliado[[#This Row],[Género Delincuente]]="Femenino","🚺","🚹")</f>
        <v>🚹</v>
      </c>
      <c r="O21">
        <v>3</v>
      </c>
      <c r="P21" s="1">
        <v>19261</v>
      </c>
      <c r="Q21" s="7">
        <f>INT((crimenes_cordoba_ampliado[[#This Row],[Fecha]]-crimenes_cordoba_ampliado[[#This Row],[Fecha Nac. Víctima]])/365)</f>
        <v>71</v>
      </c>
      <c r="R21" s="7" t="str">
        <f>_xlfn.XLOOKUP(crimenes_cordoba_ampliado[[#This Row],[EDAD VICTIMA]],'Rango etareo'!$A$2:$A$25,'Rango etareo'!$B$2:$B$25,,-1)</f>
        <v>&gt;65</v>
      </c>
      <c r="S21" s="3" t="s">
        <v>21</v>
      </c>
      <c r="T21" s="3" t="str">
        <f>IF(crimenes_cordoba_ampliado[[#This Row],[Género Víctima]]="Masculino","🚹","🚺")</f>
        <v>🚺</v>
      </c>
      <c r="U21">
        <v>1</v>
      </c>
      <c r="V21" s="3" t="s">
        <v>23</v>
      </c>
      <c r="W21" s="3" t="s">
        <v>24</v>
      </c>
      <c r="X21" s="3" t="s">
        <v>24</v>
      </c>
      <c r="Y21" s="3" t="s">
        <v>24</v>
      </c>
      <c r="Z21" s="3" t="s">
        <v>25</v>
      </c>
      <c r="AA21" s="3" t="s">
        <v>23</v>
      </c>
      <c r="AB21" s="3" t="str">
        <f>IF(crimenes_cordoba_ampliado[[#This Row],[Hubo Arresto]]="Sí", "Resuelto", "Pendiente")</f>
        <v>Resuelto</v>
      </c>
      <c r="AC21" s="3" t="s">
        <v>66</v>
      </c>
      <c r="AD21" s="3"/>
    </row>
    <row r="22" spans="1:30" x14ac:dyDescent="0.25">
      <c r="A22">
        <v>17</v>
      </c>
      <c r="B22" s="1">
        <v>44057</v>
      </c>
      <c r="C22" s="33">
        <f t="shared" si="0"/>
        <v>44057</v>
      </c>
      <c r="D22" s="34">
        <f t="shared" si="1"/>
        <v>44057</v>
      </c>
      <c r="E22" s="35" t="s">
        <v>1455</v>
      </c>
      <c r="F22" s="2">
        <v>0.87708333333333333</v>
      </c>
      <c r="G22" s="3" t="s">
        <v>19</v>
      </c>
      <c r="H22" s="3" t="s">
        <v>55</v>
      </c>
      <c r="I22" s="25" t="str">
        <f>VLOOKUP(H22,Tabla5[#All],4,FALSE)</f>
        <v>-31,4015892433235, -64,160442876477</v>
      </c>
      <c r="J22" s="1">
        <v>33635</v>
      </c>
      <c r="K22" s="7">
        <f>INT((crimenes_cordoba_ampliado[[#This Row],[Fecha]]-crimenes_cordoba_ampliado[[#This Row],[Fecha Nac. Delincuente]])/365)</f>
        <v>28</v>
      </c>
      <c r="L22" s="7" t="str">
        <f>_xlfn.XLOOKUP(crimenes_cordoba_ampliado[[#This Row],[EDAD DELINCUENTE]],'Rango etareo'!$A$10:$A$25,'Rango etareo'!$B$10:$B$25,,-1)</f>
        <v>26 - 35</v>
      </c>
      <c r="M22" s="3" t="s">
        <v>21</v>
      </c>
      <c r="N22" s="3" t="str">
        <f>IF(crimenes_cordoba_ampliado[[#This Row],[Género Delincuente]]="Femenino","🚺","🚹")</f>
        <v>🚺</v>
      </c>
      <c r="O22">
        <v>5</v>
      </c>
      <c r="P22" s="1">
        <v>17351</v>
      </c>
      <c r="Q22" s="7">
        <f>INT((crimenes_cordoba_ampliado[[#This Row],[Fecha]]-crimenes_cordoba_ampliado[[#This Row],[Fecha Nac. Víctima]])/365)</f>
        <v>73</v>
      </c>
      <c r="R22" s="7" t="str">
        <f>_xlfn.XLOOKUP(crimenes_cordoba_ampliado[[#This Row],[EDAD VICTIMA]],'Rango etareo'!$A$2:$A$25,'Rango etareo'!$B$2:$B$25,,-1)</f>
        <v>&gt;65</v>
      </c>
      <c r="S22" s="3" t="s">
        <v>22</v>
      </c>
      <c r="T22" s="3" t="str">
        <f>IF(crimenes_cordoba_ampliado[[#This Row],[Género Víctima]]="Masculino","🚹","🚺")</f>
        <v>🚹</v>
      </c>
      <c r="U22">
        <v>1</v>
      </c>
      <c r="V22" s="3" t="s">
        <v>23</v>
      </c>
      <c r="W22" s="3" t="s">
        <v>24</v>
      </c>
      <c r="X22" s="3" t="s">
        <v>67</v>
      </c>
      <c r="Y22" s="3" t="s">
        <v>24</v>
      </c>
      <c r="Z22" s="3" t="s">
        <v>23</v>
      </c>
      <c r="AA22" s="3" t="s">
        <v>25</v>
      </c>
      <c r="AB22" s="3" t="str">
        <f>IF(crimenes_cordoba_ampliado[[#This Row],[Hubo Arresto]]="Sí", "Resuelto", "Pendiente")</f>
        <v>Resuelto</v>
      </c>
      <c r="AC22" s="3" t="s">
        <v>68</v>
      </c>
      <c r="AD22" s="3"/>
    </row>
    <row r="23" spans="1:30" x14ac:dyDescent="0.25">
      <c r="A23">
        <v>230</v>
      </c>
      <c r="B23" s="1">
        <v>42089</v>
      </c>
      <c r="C23" s="33">
        <f t="shared" si="0"/>
        <v>42089</v>
      </c>
      <c r="D23" s="34">
        <f t="shared" si="1"/>
        <v>42089</v>
      </c>
      <c r="E23" s="35" t="s">
        <v>1454</v>
      </c>
      <c r="F23" s="2">
        <v>0.51875000000000004</v>
      </c>
      <c r="G23" s="3" t="s">
        <v>31</v>
      </c>
      <c r="H23" s="3" t="s">
        <v>52</v>
      </c>
      <c r="I23" s="25" t="str">
        <f>VLOOKUP(H23,Tabla5[#All],4,FALSE)</f>
        <v>-31,3477902896523, -64,2644406169297</v>
      </c>
      <c r="J23" s="1">
        <v>23672</v>
      </c>
      <c r="K23" s="7">
        <f>INT((crimenes_cordoba_ampliado[[#This Row],[Fecha]]-crimenes_cordoba_ampliado[[#This Row],[Fecha Nac. Delincuente]])/365)</f>
        <v>50</v>
      </c>
      <c r="L23" s="7" t="str">
        <f>_xlfn.XLOOKUP(crimenes_cordoba_ampliado[[#This Row],[EDAD DELINCUENTE]],'Rango etareo'!$A$10:$A$25,'Rango etareo'!$B$10:$B$25,,-1)</f>
        <v>46 - 55</v>
      </c>
      <c r="M23" s="3" t="s">
        <v>22</v>
      </c>
      <c r="N23" s="3" t="str">
        <f>IF(crimenes_cordoba_ampliado[[#This Row],[Género Delincuente]]="Femenino","🚺","🚹")</f>
        <v>🚹</v>
      </c>
      <c r="O23">
        <v>4</v>
      </c>
      <c r="P23" s="1">
        <v>40488</v>
      </c>
      <c r="Q23" s="7">
        <f>INT((crimenes_cordoba_ampliado[[#This Row],[Fecha]]-crimenes_cordoba_ampliado[[#This Row],[Fecha Nac. Víctima]])/365)</f>
        <v>4</v>
      </c>
      <c r="R23" s="7" t="str">
        <f>_xlfn.XLOOKUP(crimenes_cordoba_ampliado[[#This Row],[EDAD VICTIMA]],'Rango etareo'!$A$2:$A$25,'Rango etareo'!$B$2:$B$25,,-1)</f>
        <v>&lt;=17</v>
      </c>
      <c r="S23" s="3" t="s">
        <v>21</v>
      </c>
      <c r="T23" s="3" t="str">
        <f>IF(crimenes_cordoba_ampliado[[#This Row],[Género Víctima]]="Masculino","🚹","🚺")</f>
        <v>🚺</v>
      </c>
      <c r="U23">
        <v>1</v>
      </c>
      <c r="V23" s="3" t="s">
        <v>25</v>
      </c>
      <c r="W23" s="3" t="s">
        <v>24</v>
      </c>
      <c r="X23" s="3" t="s">
        <v>24</v>
      </c>
      <c r="Y23" s="3" t="s">
        <v>43</v>
      </c>
      <c r="Z23" s="3" t="s">
        <v>25</v>
      </c>
      <c r="AA23" s="3" t="s">
        <v>25</v>
      </c>
      <c r="AB23" s="3" t="str">
        <f>IF(crimenes_cordoba_ampliado[[#This Row],[Hubo Arresto]]="Sí", "Resuelto", "Pendiente")</f>
        <v>Pendiente</v>
      </c>
      <c r="AC23" s="3" t="s">
        <v>24</v>
      </c>
      <c r="AD23" s="3"/>
    </row>
    <row r="24" spans="1:30" x14ac:dyDescent="0.25">
      <c r="A24">
        <v>45</v>
      </c>
      <c r="B24" s="1">
        <v>42093</v>
      </c>
      <c r="C24" s="33">
        <f t="shared" si="0"/>
        <v>42093</v>
      </c>
      <c r="D24" s="34">
        <f t="shared" si="1"/>
        <v>42093</v>
      </c>
      <c r="E24" s="35" t="s">
        <v>1452</v>
      </c>
      <c r="F24" s="2">
        <v>0.60486111111111107</v>
      </c>
      <c r="G24" s="3" t="s">
        <v>19</v>
      </c>
      <c r="H24" s="3" t="s">
        <v>62</v>
      </c>
      <c r="I24" s="25" t="str">
        <f>VLOOKUP(H24,Tabla5[#All],4,FALSE)</f>
        <v>-31,3909520937826, -64,1836424491715</v>
      </c>
      <c r="J24" s="1">
        <v>30360</v>
      </c>
      <c r="K24" s="7">
        <f>INT((crimenes_cordoba_ampliado[[#This Row],[Fecha]]-crimenes_cordoba_ampliado[[#This Row],[Fecha Nac. Delincuente]])/365)</f>
        <v>32</v>
      </c>
      <c r="L24" s="7" t="str">
        <f>_xlfn.XLOOKUP(crimenes_cordoba_ampliado[[#This Row],[EDAD DELINCUENTE]],'Rango etareo'!$A$10:$A$25,'Rango etareo'!$B$10:$B$25,,-1)</f>
        <v>26 - 35</v>
      </c>
      <c r="M24" s="3" t="s">
        <v>21</v>
      </c>
      <c r="N24" s="3" t="str">
        <f>IF(crimenes_cordoba_ampliado[[#This Row],[Género Delincuente]]="Femenino","🚺","🚹")</f>
        <v>🚺</v>
      </c>
      <c r="O24">
        <v>5</v>
      </c>
      <c r="P24" s="1">
        <v>18584</v>
      </c>
      <c r="Q24" s="7">
        <f>INT((crimenes_cordoba_ampliado[[#This Row],[Fecha]]-crimenes_cordoba_ampliado[[#This Row],[Fecha Nac. Víctima]])/365)</f>
        <v>64</v>
      </c>
      <c r="R24" s="7" t="str">
        <f>_xlfn.XLOOKUP(crimenes_cordoba_ampliado[[#This Row],[EDAD VICTIMA]],'Rango etareo'!$A$2:$A$25,'Rango etareo'!$B$2:$B$25,,-1)</f>
        <v>56 - 65</v>
      </c>
      <c r="S24" s="3" t="s">
        <v>22</v>
      </c>
      <c r="T24" s="3" t="str">
        <f>IF(crimenes_cordoba_ampliado[[#This Row],[Género Víctima]]="Masculino","🚹","🚺")</f>
        <v>🚹</v>
      </c>
      <c r="U24">
        <v>2</v>
      </c>
      <c r="V24" s="3" t="s">
        <v>25</v>
      </c>
      <c r="W24" s="3" t="s">
        <v>24</v>
      </c>
      <c r="X24" s="3" t="s">
        <v>24</v>
      </c>
      <c r="Y24" s="3" t="s">
        <v>72</v>
      </c>
      <c r="Z24" s="3" t="s">
        <v>25</v>
      </c>
      <c r="AA24" s="3" t="s">
        <v>23</v>
      </c>
      <c r="AB24" s="3" t="str">
        <f>IF(crimenes_cordoba_ampliado[[#This Row],[Hubo Arresto]]="Sí", "Resuelto", "Pendiente")</f>
        <v>Pendiente</v>
      </c>
      <c r="AC24" s="3" t="s">
        <v>24</v>
      </c>
      <c r="AD24" s="3"/>
    </row>
    <row r="25" spans="1:30" x14ac:dyDescent="0.25">
      <c r="A25">
        <v>20</v>
      </c>
      <c r="B25" s="1">
        <v>42736</v>
      </c>
      <c r="C25" s="33">
        <f t="shared" si="0"/>
        <v>42736</v>
      </c>
      <c r="D25" s="34">
        <f t="shared" si="1"/>
        <v>42736</v>
      </c>
      <c r="E25" s="35" t="s">
        <v>1449</v>
      </c>
      <c r="F25" s="2">
        <v>0.6958333333333333</v>
      </c>
      <c r="G25" s="3" t="s">
        <v>31</v>
      </c>
      <c r="H25" s="3" t="s">
        <v>58</v>
      </c>
      <c r="I25" s="25" t="str">
        <f>VLOOKUP(H25,Tabla5[#All],4,FALSE)</f>
        <v>-31,423018915313, -64,1493562190664</v>
      </c>
      <c r="J25" s="1">
        <v>38274</v>
      </c>
      <c r="K25" s="7">
        <f>INT((crimenes_cordoba_ampliado[[#This Row],[Fecha]]-crimenes_cordoba_ampliado[[#This Row],[Fecha Nac. Delincuente]])/365)</f>
        <v>12</v>
      </c>
      <c r="L25" s="7" t="str">
        <f>_xlfn.XLOOKUP(crimenes_cordoba_ampliado[[#This Row],[EDAD DELINCUENTE]],'Rango etareo'!$A$10:$A$25,'Rango etareo'!$B$10:$B$25,,-1)</f>
        <v>&lt;=17</v>
      </c>
      <c r="M25" s="3" t="s">
        <v>22</v>
      </c>
      <c r="N25" s="3" t="str">
        <f>IF(crimenes_cordoba_ampliado[[#This Row],[Género Delincuente]]="Femenino","🚺","🚹")</f>
        <v>🚹</v>
      </c>
      <c r="O25">
        <v>2</v>
      </c>
      <c r="P25" s="1">
        <v>28888</v>
      </c>
      <c r="Q25" s="7">
        <f>INT((crimenes_cordoba_ampliado[[#This Row],[Fecha]]-crimenes_cordoba_ampliado[[#This Row],[Fecha Nac. Víctima]])/365)</f>
        <v>37</v>
      </c>
      <c r="R25" s="7" t="str">
        <f>_xlfn.XLOOKUP(crimenes_cordoba_ampliado[[#This Row],[EDAD VICTIMA]],'Rango etareo'!$A$2:$A$25,'Rango etareo'!$B$2:$B$25,,-1)</f>
        <v>36 - 45</v>
      </c>
      <c r="S25" s="3" t="s">
        <v>22</v>
      </c>
      <c r="T25" s="3" t="str">
        <f>IF(crimenes_cordoba_ampliado[[#This Row],[Género Víctima]]="Masculino","🚹","🚺")</f>
        <v>🚹</v>
      </c>
      <c r="U25">
        <v>2</v>
      </c>
      <c r="V25" s="3" t="s">
        <v>23</v>
      </c>
      <c r="W25" s="3" t="s">
        <v>24</v>
      </c>
      <c r="X25" s="3" t="s">
        <v>24</v>
      </c>
      <c r="Y25" s="3" t="s">
        <v>72</v>
      </c>
      <c r="Z25" s="3" t="s">
        <v>23</v>
      </c>
      <c r="AA25" s="3" t="s">
        <v>23</v>
      </c>
      <c r="AB25" s="3" t="str">
        <f>IF(crimenes_cordoba_ampliado[[#This Row],[Hubo Arresto]]="Sí", "Resuelto", "Pendiente")</f>
        <v>Resuelto</v>
      </c>
      <c r="AC25" s="3" t="s">
        <v>73</v>
      </c>
      <c r="AD25" s="3"/>
    </row>
    <row r="26" spans="1:30" x14ac:dyDescent="0.25">
      <c r="A26">
        <v>25</v>
      </c>
      <c r="B26" s="1">
        <v>42201</v>
      </c>
      <c r="C26" s="33">
        <f t="shared" si="0"/>
        <v>42201</v>
      </c>
      <c r="D26" s="34">
        <f t="shared" si="1"/>
        <v>42201</v>
      </c>
      <c r="E26" s="35" t="s">
        <v>1454</v>
      </c>
      <c r="F26" s="2">
        <v>0.40763888888888888</v>
      </c>
      <c r="G26" s="3" t="s">
        <v>19</v>
      </c>
      <c r="H26" s="3" t="s">
        <v>52</v>
      </c>
      <c r="I26" s="25" t="str">
        <f>VLOOKUP(H26,Tabla5[#All],4,FALSE)</f>
        <v>-31,3477902896523, -64,2644406169297</v>
      </c>
      <c r="J26" s="1">
        <v>26834</v>
      </c>
      <c r="K26" s="7">
        <f>INT((crimenes_cordoba_ampliado[[#This Row],[Fecha]]-crimenes_cordoba_ampliado[[#This Row],[Fecha Nac. Delincuente]])/365)</f>
        <v>42</v>
      </c>
      <c r="L26" s="7" t="str">
        <f>_xlfn.XLOOKUP(crimenes_cordoba_ampliado[[#This Row],[EDAD DELINCUENTE]],'Rango etareo'!$A$10:$A$25,'Rango etareo'!$B$10:$B$25,,-1)</f>
        <v>36 - 45</v>
      </c>
      <c r="M26" s="3" t="s">
        <v>22</v>
      </c>
      <c r="N26" s="3" t="str">
        <f>IF(crimenes_cordoba_ampliado[[#This Row],[Género Delincuente]]="Femenino","🚺","🚹")</f>
        <v>🚹</v>
      </c>
      <c r="O26">
        <v>5</v>
      </c>
      <c r="P26" s="1">
        <v>26637</v>
      </c>
      <c r="Q26" s="7">
        <f>INT((crimenes_cordoba_ampliado[[#This Row],[Fecha]]-crimenes_cordoba_ampliado[[#This Row],[Fecha Nac. Víctima]])/365)</f>
        <v>42</v>
      </c>
      <c r="R26" s="7" t="str">
        <f>_xlfn.XLOOKUP(crimenes_cordoba_ampliado[[#This Row],[EDAD VICTIMA]],'Rango etareo'!$A$2:$A$25,'Rango etareo'!$B$2:$B$25,,-1)</f>
        <v>36 - 45</v>
      </c>
      <c r="S26" s="3" t="s">
        <v>21</v>
      </c>
      <c r="T26" s="3" t="str">
        <f>IF(crimenes_cordoba_ampliado[[#This Row],[Género Víctima]]="Masculino","🚹","🚺")</f>
        <v>🚺</v>
      </c>
      <c r="U26">
        <v>1</v>
      </c>
      <c r="V26" s="3" t="s">
        <v>23</v>
      </c>
      <c r="W26" s="3" t="s">
        <v>24</v>
      </c>
      <c r="X26" s="3" t="s">
        <v>24</v>
      </c>
      <c r="Y26" s="3" t="s">
        <v>53</v>
      </c>
      <c r="Z26" s="3" t="s">
        <v>25</v>
      </c>
      <c r="AA26" s="3" t="s">
        <v>23</v>
      </c>
      <c r="AB26" s="3" t="str">
        <f>IF(crimenes_cordoba_ampliado[[#This Row],[Hubo Arresto]]="Sí", "Resuelto", "Pendiente")</f>
        <v>Resuelto</v>
      </c>
      <c r="AC26" s="3" t="s">
        <v>74</v>
      </c>
      <c r="AD26" s="3"/>
    </row>
    <row r="27" spans="1:30" x14ac:dyDescent="0.25">
      <c r="A27">
        <v>469</v>
      </c>
      <c r="B27" s="1">
        <v>42110</v>
      </c>
      <c r="C27" s="33">
        <f t="shared" si="0"/>
        <v>42110</v>
      </c>
      <c r="D27" s="34">
        <f t="shared" si="1"/>
        <v>42110</v>
      </c>
      <c r="E27" s="35" t="s">
        <v>1454</v>
      </c>
      <c r="F27" s="2">
        <v>0.65694444444444444</v>
      </c>
      <c r="G27" s="3" t="s">
        <v>48</v>
      </c>
      <c r="H27" s="3" t="s">
        <v>32</v>
      </c>
      <c r="I27" s="25" t="str">
        <f>VLOOKUP(H27,Tabla5[#All],4,FALSE)</f>
        <v>-31,4148488101991, -64,1793406489438</v>
      </c>
      <c r="J27" s="1">
        <v>36811</v>
      </c>
      <c r="K27" s="7">
        <f>INT((crimenes_cordoba_ampliado[[#This Row],[Fecha]]-crimenes_cordoba_ampliado[[#This Row],[Fecha Nac. Delincuente]])/365)</f>
        <v>14</v>
      </c>
      <c r="L27" s="7" t="str">
        <f>_xlfn.XLOOKUP(crimenes_cordoba_ampliado[[#This Row],[EDAD DELINCUENTE]],'Rango etareo'!$A$10:$A$25,'Rango etareo'!$B$10:$B$25,,-1)</f>
        <v>&lt;=17</v>
      </c>
      <c r="M27" s="3" t="s">
        <v>21</v>
      </c>
      <c r="N27" s="3" t="str">
        <f>IF(crimenes_cordoba_ampliado[[#This Row],[Género Delincuente]]="Femenino","🚺","🚹")</f>
        <v>🚺</v>
      </c>
      <c r="O27">
        <v>4</v>
      </c>
      <c r="P27" s="1">
        <v>19933</v>
      </c>
      <c r="Q27" s="7">
        <f>INT((crimenes_cordoba_ampliado[[#This Row],[Fecha]]-crimenes_cordoba_ampliado[[#This Row],[Fecha Nac. Víctima]])/365)</f>
        <v>60</v>
      </c>
      <c r="R27" s="7" t="str">
        <f>_xlfn.XLOOKUP(crimenes_cordoba_ampliado[[#This Row],[EDAD VICTIMA]],'Rango etareo'!$A$2:$A$25,'Rango etareo'!$B$2:$B$25,,-1)</f>
        <v>56 - 65</v>
      </c>
      <c r="S27" s="3" t="s">
        <v>21</v>
      </c>
      <c r="T27" s="3" t="str">
        <f>IF(crimenes_cordoba_ampliado[[#This Row],[Género Víctima]]="Masculino","🚹","🚺")</f>
        <v>🚺</v>
      </c>
      <c r="U27">
        <v>2</v>
      </c>
      <c r="V27" s="3" t="s">
        <v>25</v>
      </c>
      <c r="W27" s="3" t="s">
        <v>24</v>
      </c>
      <c r="X27" s="3" t="s">
        <v>24</v>
      </c>
      <c r="Y27" s="3" t="s">
        <v>89</v>
      </c>
      <c r="Z27" s="3" t="s">
        <v>23</v>
      </c>
      <c r="AA27" s="3" t="s">
        <v>25</v>
      </c>
      <c r="AB27" s="3" t="str">
        <f>IF(crimenes_cordoba_ampliado[[#This Row],[Hubo Arresto]]="Sí", "Resuelto", "Pendiente")</f>
        <v>Pendiente</v>
      </c>
      <c r="AC27" s="3" t="s">
        <v>24</v>
      </c>
      <c r="AD27" s="3"/>
    </row>
    <row r="28" spans="1:30" x14ac:dyDescent="0.25">
      <c r="A28">
        <v>26</v>
      </c>
      <c r="B28" s="1">
        <v>45019</v>
      </c>
      <c r="C28" s="33">
        <f t="shared" si="0"/>
        <v>45019</v>
      </c>
      <c r="D28" s="34">
        <f t="shared" si="1"/>
        <v>45019</v>
      </c>
      <c r="E28" s="35" t="s">
        <v>1452</v>
      </c>
      <c r="F28" s="2">
        <v>0.96458333333333335</v>
      </c>
      <c r="G28" s="3" t="s">
        <v>35</v>
      </c>
      <c r="H28" s="3" t="s">
        <v>65</v>
      </c>
      <c r="I28" s="25" t="str">
        <f>VLOOKUP(H28,Tabla5[#All],4,FALSE)</f>
        <v>-31,4285567311661, -64,1853198281007</v>
      </c>
      <c r="J28" s="1">
        <v>20479</v>
      </c>
      <c r="K28" s="7">
        <f>INT((crimenes_cordoba_ampliado[[#This Row],[Fecha]]-crimenes_cordoba_ampliado[[#This Row],[Fecha Nac. Delincuente]])/365)</f>
        <v>67</v>
      </c>
      <c r="L28" s="7" t="str">
        <f>_xlfn.XLOOKUP(crimenes_cordoba_ampliado[[#This Row],[EDAD DELINCUENTE]],'Rango etareo'!$A$10:$A$25,'Rango etareo'!$B$10:$B$25,,-1)</f>
        <v>&gt;65</v>
      </c>
      <c r="M28" s="3" t="s">
        <v>21</v>
      </c>
      <c r="N28" s="3" t="str">
        <f>IF(crimenes_cordoba_ampliado[[#This Row],[Género Delincuente]]="Femenino","🚺","🚹")</f>
        <v>🚺</v>
      </c>
      <c r="O28">
        <v>1</v>
      </c>
      <c r="P28" s="1">
        <v>36276</v>
      </c>
      <c r="Q28" s="7">
        <f>INT((crimenes_cordoba_ampliado[[#This Row],[Fecha]]-crimenes_cordoba_ampliado[[#This Row],[Fecha Nac. Víctima]])/365)</f>
        <v>23</v>
      </c>
      <c r="R28" s="7" t="str">
        <f>_xlfn.XLOOKUP(crimenes_cordoba_ampliado[[#This Row],[EDAD VICTIMA]],'Rango etareo'!$A$2:$A$25,'Rango etareo'!$B$2:$B$25,,-1)</f>
        <v>18 - 25</v>
      </c>
      <c r="S28" s="3" t="s">
        <v>21</v>
      </c>
      <c r="T28" s="3" t="str">
        <f>IF(crimenes_cordoba_ampliado[[#This Row],[Género Víctima]]="Masculino","🚹","🚺")</f>
        <v>🚺</v>
      </c>
      <c r="U28">
        <v>3</v>
      </c>
      <c r="V28" s="3" t="s">
        <v>23</v>
      </c>
      <c r="W28" s="3" t="s">
        <v>24</v>
      </c>
      <c r="X28" s="3" t="s">
        <v>50</v>
      </c>
      <c r="Y28" s="3" t="s">
        <v>24</v>
      </c>
      <c r="Z28" s="3" t="s">
        <v>25</v>
      </c>
      <c r="AA28" s="3" t="s">
        <v>23</v>
      </c>
      <c r="AB28" s="3" t="str">
        <f>IF(crimenes_cordoba_ampliado[[#This Row],[Hubo Arresto]]="Sí", "Resuelto", "Pendiente")</f>
        <v>Resuelto</v>
      </c>
      <c r="AC28" s="3" t="s">
        <v>75</v>
      </c>
      <c r="AD28" s="3"/>
    </row>
    <row r="29" spans="1:30" x14ac:dyDescent="0.25">
      <c r="A29">
        <v>27</v>
      </c>
      <c r="B29" s="1">
        <v>42838</v>
      </c>
      <c r="C29" s="33">
        <f t="shared" si="0"/>
        <v>42838</v>
      </c>
      <c r="D29" s="34">
        <f t="shared" si="1"/>
        <v>42838</v>
      </c>
      <c r="E29" s="35" t="s">
        <v>1454</v>
      </c>
      <c r="F29" s="2">
        <v>0.80555555555555558</v>
      </c>
      <c r="G29" s="3" t="s">
        <v>27</v>
      </c>
      <c r="H29" s="3" t="s">
        <v>55</v>
      </c>
      <c r="I29" s="25" t="str">
        <f>VLOOKUP(H29,Tabla5[#All],4,FALSE)</f>
        <v>-31,4015892433235, -64,160442876477</v>
      </c>
      <c r="J29" s="1">
        <v>29534</v>
      </c>
      <c r="K29" s="7">
        <f>INT((crimenes_cordoba_ampliado[[#This Row],[Fecha]]-crimenes_cordoba_ampliado[[#This Row],[Fecha Nac. Delincuente]])/365)</f>
        <v>36</v>
      </c>
      <c r="L29" s="7" t="str">
        <f>_xlfn.XLOOKUP(crimenes_cordoba_ampliado[[#This Row],[EDAD DELINCUENTE]],'Rango etareo'!$A$10:$A$25,'Rango etareo'!$B$10:$B$25,,-1)</f>
        <v>36 - 45</v>
      </c>
      <c r="M29" s="3" t="s">
        <v>22</v>
      </c>
      <c r="N29" s="3" t="str">
        <f>IF(crimenes_cordoba_ampliado[[#This Row],[Género Delincuente]]="Femenino","🚺","🚹")</f>
        <v>🚹</v>
      </c>
      <c r="O29">
        <v>2</v>
      </c>
      <c r="P29" s="1">
        <v>35816</v>
      </c>
      <c r="Q29" s="7">
        <f>INT((crimenes_cordoba_ampliado[[#This Row],[Fecha]]-crimenes_cordoba_ampliado[[#This Row],[Fecha Nac. Víctima]])/365)</f>
        <v>19</v>
      </c>
      <c r="R29" s="7" t="str">
        <f>_xlfn.XLOOKUP(crimenes_cordoba_ampliado[[#This Row],[EDAD VICTIMA]],'Rango etareo'!$A$2:$A$25,'Rango etareo'!$B$2:$B$25,,-1)</f>
        <v>18 - 25</v>
      </c>
      <c r="S29" s="3" t="s">
        <v>22</v>
      </c>
      <c r="T29" s="3" t="str">
        <f>IF(crimenes_cordoba_ampliado[[#This Row],[Género Víctima]]="Masculino","🚹","🚺")</f>
        <v>🚹</v>
      </c>
      <c r="U29">
        <v>2</v>
      </c>
      <c r="V29" s="3" t="s">
        <v>23</v>
      </c>
      <c r="W29" s="3" t="s">
        <v>24</v>
      </c>
      <c r="X29" s="3" t="s">
        <v>24</v>
      </c>
      <c r="Y29" s="3" t="s">
        <v>33</v>
      </c>
      <c r="Z29" s="3" t="s">
        <v>25</v>
      </c>
      <c r="AA29" s="3" t="s">
        <v>25</v>
      </c>
      <c r="AB29" s="3" t="str">
        <f>IF(crimenes_cordoba_ampliado[[#This Row],[Hubo Arresto]]="Sí", "Resuelto", "Pendiente")</f>
        <v>Resuelto</v>
      </c>
      <c r="AC29" s="3" t="s">
        <v>76</v>
      </c>
      <c r="AD29" s="3"/>
    </row>
    <row r="30" spans="1:30" x14ac:dyDescent="0.25">
      <c r="A30">
        <v>28</v>
      </c>
      <c r="B30" s="1">
        <v>44320</v>
      </c>
      <c r="C30" s="33">
        <f t="shared" si="0"/>
        <v>44320</v>
      </c>
      <c r="D30" s="34">
        <f t="shared" si="1"/>
        <v>44320</v>
      </c>
      <c r="E30" s="35" t="s">
        <v>1453</v>
      </c>
      <c r="F30" s="2">
        <v>0.87916666666666665</v>
      </c>
      <c r="G30" s="3" t="s">
        <v>27</v>
      </c>
      <c r="H30" s="3" t="s">
        <v>58</v>
      </c>
      <c r="I30" s="25" t="str">
        <f>VLOOKUP(H30,Tabla5[#All],4,FALSE)</f>
        <v>-31,423018915313, -64,1493562190664</v>
      </c>
      <c r="J30" s="1">
        <v>21314</v>
      </c>
      <c r="K30" s="7">
        <f>INT((crimenes_cordoba_ampliado[[#This Row],[Fecha]]-crimenes_cordoba_ampliado[[#This Row],[Fecha Nac. Delincuente]])/365)</f>
        <v>63</v>
      </c>
      <c r="L30" s="7" t="str">
        <f>_xlfn.XLOOKUP(crimenes_cordoba_ampliado[[#This Row],[EDAD DELINCUENTE]],'Rango etareo'!$A$10:$A$25,'Rango etareo'!$B$10:$B$25,,-1)</f>
        <v>56 - 65</v>
      </c>
      <c r="M30" s="3" t="s">
        <v>21</v>
      </c>
      <c r="N30" s="3" t="str">
        <f>IF(crimenes_cordoba_ampliado[[#This Row],[Género Delincuente]]="Femenino","🚺","🚹")</f>
        <v>🚺</v>
      </c>
      <c r="O30">
        <v>4</v>
      </c>
      <c r="P30" s="1">
        <v>28012</v>
      </c>
      <c r="Q30" s="7">
        <f>INT((crimenes_cordoba_ampliado[[#This Row],[Fecha]]-crimenes_cordoba_ampliado[[#This Row],[Fecha Nac. Víctima]])/365)</f>
        <v>44</v>
      </c>
      <c r="R30" s="7" t="str">
        <f>_xlfn.XLOOKUP(crimenes_cordoba_ampliado[[#This Row],[EDAD VICTIMA]],'Rango etareo'!$A$2:$A$25,'Rango etareo'!$B$2:$B$25,,-1)</f>
        <v>36 - 45</v>
      </c>
      <c r="S30" s="3" t="s">
        <v>21</v>
      </c>
      <c r="T30" s="3" t="str">
        <f>IF(crimenes_cordoba_ampliado[[#This Row],[Género Víctima]]="Masculino","🚹","🚺")</f>
        <v>🚺</v>
      </c>
      <c r="U30">
        <v>1</v>
      </c>
      <c r="V30" s="3" t="s">
        <v>23</v>
      </c>
      <c r="W30" s="3" t="s">
        <v>36</v>
      </c>
      <c r="X30" s="3" t="s">
        <v>24</v>
      </c>
      <c r="Y30" s="3" t="s">
        <v>77</v>
      </c>
      <c r="Z30" s="3" t="s">
        <v>25</v>
      </c>
      <c r="AA30" s="3" t="s">
        <v>25</v>
      </c>
      <c r="AB30" s="3" t="str">
        <f>IF(crimenes_cordoba_ampliado[[#This Row],[Hubo Arresto]]="Sí", "Resuelto", "Pendiente")</f>
        <v>Resuelto</v>
      </c>
      <c r="AC30" s="3" t="s">
        <v>78</v>
      </c>
      <c r="AD30" s="3"/>
    </row>
    <row r="31" spans="1:30" x14ac:dyDescent="0.25">
      <c r="A31">
        <v>546</v>
      </c>
      <c r="B31" s="1">
        <v>42120</v>
      </c>
      <c r="C31" s="33">
        <f t="shared" si="0"/>
        <v>42120</v>
      </c>
      <c r="D31" s="34">
        <f t="shared" si="1"/>
        <v>42120</v>
      </c>
      <c r="E31" s="35" t="s">
        <v>1449</v>
      </c>
      <c r="F31" s="2">
        <v>0.62152777777777779</v>
      </c>
      <c r="G31" s="3" t="s">
        <v>45</v>
      </c>
      <c r="H31" s="3" t="s">
        <v>52</v>
      </c>
      <c r="I31" s="25" t="str">
        <f>VLOOKUP(H31,Tabla5[#All],4,FALSE)</f>
        <v>-31,3477902896523, -64,2644406169297</v>
      </c>
      <c r="J31" s="1">
        <v>33495</v>
      </c>
      <c r="K31" s="7">
        <f>INT((crimenes_cordoba_ampliado[[#This Row],[Fecha]]-crimenes_cordoba_ampliado[[#This Row],[Fecha Nac. Delincuente]])/365)</f>
        <v>23</v>
      </c>
      <c r="L31" s="7" t="str">
        <f>_xlfn.XLOOKUP(crimenes_cordoba_ampliado[[#This Row],[EDAD DELINCUENTE]],'Rango etareo'!$A$10:$A$25,'Rango etareo'!$B$10:$B$25,,-1)</f>
        <v>18 - 25</v>
      </c>
      <c r="M31" s="3" t="s">
        <v>21</v>
      </c>
      <c r="N31" s="3" t="str">
        <f>IF(crimenes_cordoba_ampliado[[#This Row],[Género Delincuente]]="Femenino","🚺","🚹")</f>
        <v>🚺</v>
      </c>
      <c r="O31">
        <v>4</v>
      </c>
      <c r="P31" s="1">
        <v>28236</v>
      </c>
      <c r="Q31" s="7">
        <f>INT((crimenes_cordoba_ampliado[[#This Row],[Fecha]]-crimenes_cordoba_ampliado[[#This Row],[Fecha Nac. Víctima]])/365)</f>
        <v>38</v>
      </c>
      <c r="R31" s="7" t="str">
        <f>_xlfn.XLOOKUP(crimenes_cordoba_ampliado[[#This Row],[EDAD VICTIMA]],'Rango etareo'!$A$2:$A$25,'Rango etareo'!$B$2:$B$25,,-1)</f>
        <v>36 - 45</v>
      </c>
      <c r="S31" s="3" t="s">
        <v>21</v>
      </c>
      <c r="T31" s="3" t="str">
        <f>IF(crimenes_cordoba_ampliado[[#This Row],[Género Víctima]]="Masculino","🚹","🚺")</f>
        <v>🚺</v>
      </c>
      <c r="U31">
        <v>2</v>
      </c>
      <c r="V31" s="3" t="s">
        <v>25</v>
      </c>
      <c r="W31" s="3" t="s">
        <v>24</v>
      </c>
      <c r="X31" s="3" t="s">
        <v>29</v>
      </c>
      <c r="Y31" s="3" t="s">
        <v>24</v>
      </c>
      <c r="Z31" s="3" t="s">
        <v>23</v>
      </c>
      <c r="AA31" s="3" t="s">
        <v>25</v>
      </c>
      <c r="AB31" s="3" t="str">
        <f>IF(crimenes_cordoba_ampliado[[#This Row],[Hubo Arresto]]="Sí", "Resuelto", "Pendiente")</f>
        <v>Pendiente</v>
      </c>
      <c r="AC31" s="3" t="s">
        <v>24</v>
      </c>
      <c r="AD31" s="3"/>
    </row>
    <row r="32" spans="1:30" x14ac:dyDescent="0.25">
      <c r="A32">
        <v>31</v>
      </c>
      <c r="B32" s="1">
        <v>45609</v>
      </c>
      <c r="C32" s="33">
        <f t="shared" si="0"/>
        <v>45609</v>
      </c>
      <c r="D32" s="34">
        <f t="shared" si="1"/>
        <v>45609</v>
      </c>
      <c r="E32" s="35" t="s">
        <v>1450</v>
      </c>
      <c r="F32" s="2">
        <v>0.66319444444444442</v>
      </c>
      <c r="G32" s="3" t="s">
        <v>81</v>
      </c>
      <c r="H32" s="3" t="s">
        <v>32</v>
      </c>
      <c r="I32" s="25" t="str">
        <f>VLOOKUP(H32,Tabla5[#All],4,FALSE)</f>
        <v>-31,4148488101991, -64,1793406489438</v>
      </c>
      <c r="J32" s="1">
        <v>20521</v>
      </c>
      <c r="K32" s="7">
        <f>INT((crimenes_cordoba_ampliado[[#This Row],[Fecha]]-crimenes_cordoba_ampliado[[#This Row],[Fecha Nac. Delincuente]])/365)</f>
        <v>68</v>
      </c>
      <c r="L32" s="7" t="str">
        <f>_xlfn.XLOOKUP(crimenes_cordoba_ampliado[[#This Row],[EDAD DELINCUENTE]],'Rango etareo'!$A$10:$A$25,'Rango etareo'!$B$10:$B$25,,-1)</f>
        <v>&gt;65</v>
      </c>
      <c r="M32" s="3" t="s">
        <v>22</v>
      </c>
      <c r="N32" s="3" t="str">
        <f>IF(crimenes_cordoba_ampliado[[#This Row],[Género Delincuente]]="Femenino","🚺","🚹")</f>
        <v>🚹</v>
      </c>
      <c r="O32">
        <v>5</v>
      </c>
      <c r="P32" s="1">
        <v>35319</v>
      </c>
      <c r="Q32" s="7">
        <f>INT((crimenes_cordoba_ampliado[[#This Row],[Fecha]]-crimenes_cordoba_ampliado[[#This Row],[Fecha Nac. Víctima]])/365)</f>
        <v>28</v>
      </c>
      <c r="R32" s="7" t="str">
        <f>_xlfn.XLOOKUP(crimenes_cordoba_ampliado[[#This Row],[EDAD VICTIMA]],'Rango etareo'!$A$2:$A$25,'Rango etareo'!$B$2:$B$25,,-1)</f>
        <v>26 - 35</v>
      </c>
      <c r="S32" s="3" t="s">
        <v>21</v>
      </c>
      <c r="T32" s="3" t="str">
        <f>IF(crimenes_cordoba_ampliado[[#This Row],[Género Víctima]]="Masculino","🚹","🚺")</f>
        <v>🚺</v>
      </c>
      <c r="U32">
        <v>1</v>
      </c>
      <c r="V32" s="3" t="s">
        <v>23</v>
      </c>
      <c r="W32" s="3" t="s">
        <v>24</v>
      </c>
      <c r="X32" s="3" t="s">
        <v>24</v>
      </c>
      <c r="Y32" s="3" t="s">
        <v>56</v>
      </c>
      <c r="Z32" s="3" t="s">
        <v>23</v>
      </c>
      <c r="AA32" s="3" t="s">
        <v>25</v>
      </c>
      <c r="AB32" s="3" t="str">
        <f>IF(crimenes_cordoba_ampliado[[#This Row],[Hubo Arresto]]="Sí", "Resuelto", "Pendiente")</f>
        <v>Resuelto</v>
      </c>
      <c r="AC32" s="3" t="s">
        <v>82</v>
      </c>
      <c r="AD32" s="3"/>
    </row>
    <row r="33" spans="1:30" x14ac:dyDescent="0.25">
      <c r="A33">
        <v>214</v>
      </c>
      <c r="B33" s="1">
        <v>42130</v>
      </c>
      <c r="C33" s="33">
        <f t="shared" si="0"/>
        <v>42130</v>
      </c>
      <c r="D33" s="34">
        <f t="shared" si="1"/>
        <v>42130</v>
      </c>
      <c r="E33" s="35" t="s">
        <v>1450</v>
      </c>
      <c r="F33" s="2">
        <v>0.54097222222222219</v>
      </c>
      <c r="G33" s="3" t="s">
        <v>31</v>
      </c>
      <c r="H33" s="3" t="s">
        <v>20</v>
      </c>
      <c r="I33" s="25" t="str">
        <f>VLOOKUP(H33,Tabla5[#All],4,FALSE)</f>
        <v>-31,4800162965848, -64,2094200976892</v>
      </c>
      <c r="J33" s="1">
        <v>33375</v>
      </c>
      <c r="K33" s="7">
        <f>INT((crimenes_cordoba_ampliado[[#This Row],[Fecha]]-crimenes_cordoba_ampliado[[#This Row],[Fecha Nac. Delincuente]])/365)</f>
        <v>23</v>
      </c>
      <c r="L33" s="7" t="str">
        <f>_xlfn.XLOOKUP(crimenes_cordoba_ampliado[[#This Row],[EDAD DELINCUENTE]],'Rango etareo'!$A$10:$A$25,'Rango etareo'!$B$10:$B$25,,-1)</f>
        <v>18 - 25</v>
      </c>
      <c r="M33" s="3" t="s">
        <v>22</v>
      </c>
      <c r="N33" s="3" t="str">
        <f>IF(crimenes_cordoba_ampliado[[#This Row],[Género Delincuente]]="Femenino","🚺","🚹")</f>
        <v>🚹</v>
      </c>
      <c r="O33">
        <v>4</v>
      </c>
      <c r="P33" s="1">
        <v>37921</v>
      </c>
      <c r="Q33" s="7">
        <f>INT((crimenes_cordoba_ampliado[[#This Row],[Fecha]]-crimenes_cordoba_ampliado[[#This Row],[Fecha Nac. Víctima]])/365)</f>
        <v>11</v>
      </c>
      <c r="R33" s="7" t="str">
        <f>_xlfn.XLOOKUP(crimenes_cordoba_ampliado[[#This Row],[EDAD VICTIMA]],'Rango etareo'!$A$2:$A$25,'Rango etareo'!$B$2:$B$25,,-1)</f>
        <v>&lt;=17</v>
      </c>
      <c r="S33" s="3" t="s">
        <v>22</v>
      </c>
      <c r="T33" s="3" t="str">
        <f>IF(crimenes_cordoba_ampliado[[#This Row],[Género Víctima]]="Masculino","🚹","🚺")</f>
        <v>🚹</v>
      </c>
      <c r="U33">
        <v>2</v>
      </c>
      <c r="V33" s="3" t="s">
        <v>25</v>
      </c>
      <c r="W33" s="3" t="s">
        <v>24</v>
      </c>
      <c r="X33" s="3" t="s">
        <v>24</v>
      </c>
      <c r="Y33" s="3" t="s">
        <v>53</v>
      </c>
      <c r="Z33" s="3" t="s">
        <v>23</v>
      </c>
      <c r="AA33" s="3" t="s">
        <v>25</v>
      </c>
      <c r="AB33" s="3" t="str">
        <f>IF(crimenes_cordoba_ampliado[[#This Row],[Hubo Arresto]]="Sí", "Resuelto", "Pendiente")</f>
        <v>Pendiente</v>
      </c>
      <c r="AC33" s="3" t="s">
        <v>24</v>
      </c>
      <c r="AD33" s="3"/>
    </row>
    <row r="34" spans="1:30" x14ac:dyDescent="0.25">
      <c r="A34">
        <v>258</v>
      </c>
      <c r="B34" s="1">
        <v>42136</v>
      </c>
      <c r="C34" s="33">
        <f t="shared" si="0"/>
        <v>42136</v>
      </c>
      <c r="D34" s="34">
        <f t="shared" si="1"/>
        <v>42136</v>
      </c>
      <c r="E34" s="35" t="s">
        <v>1453</v>
      </c>
      <c r="F34" s="2">
        <v>0.2298611111111111</v>
      </c>
      <c r="G34" s="3" t="s">
        <v>79</v>
      </c>
      <c r="H34" s="3" t="s">
        <v>58</v>
      </c>
      <c r="I34" s="25" t="str">
        <f>VLOOKUP(H34,Tabla5[#All],4,FALSE)</f>
        <v>-31,423018915313, -64,1493562190664</v>
      </c>
      <c r="J34" s="1">
        <v>38957</v>
      </c>
      <c r="K34" s="7">
        <f>INT((crimenes_cordoba_ampliado[[#This Row],[Fecha]]-crimenes_cordoba_ampliado[[#This Row],[Fecha Nac. Delincuente]])/365)</f>
        <v>8</v>
      </c>
      <c r="L34" s="7" t="str">
        <f>_xlfn.XLOOKUP(crimenes_cordoba_ampliado[[#This Row],[EDAD DELINCUENTE]],'Rango etareo'!$A$10:$A$25,'Rango etareo'!$B$10:$B$25,,-1)</f>
        <v>&lt;=17</v>
      </c>
      <c r="M34" s="3" t="s">
        <v>22</v>
      </c>
      <c r="N34" s="3" t="str">
        <f>IF(crimenes_cordoba_ampliado[[#This Row],[Género Delincuente]]="Femenino","🚺","🚹")</f>
        <v>🚹</v>
      </c>
      <c r="O34">
        <v>3</v>
      </c>
      <c r="P34" s="1">
        <v>16219</v>
      </c>
      <c r="Q34" s="7">
        <f>INT((crimenes_cordoba_ampliado[[#This Row],[Fecha]]-crimenes_cordoba_ampliado[[#This Row],[Fecha Nac. Víctima]])/365)</f>
        <v>71</v>
      </c>
      <c r="R34" s="7" t="str">
        <f>_xlfn.XLOOKUP(crimenes_cordoba_ampliado[[#This Row],[EDAD VICTIMA]],'Rango etareo'!$A$2:$A$25,'Rango etareo'!$B$2:$B$25,,-1)</f>
        <v>&gt;65</v>
      </c>
      <c r="S34" s="3" t="s">
        <v>21</v>
      </c>
      <c r="T34" s="3" t="str">
        <f>IF(crimenes_cordoba_ampliado[[#This Row],[Género Víctima]]="Masculino","🚹","🚺")</f>
        <v>🚺</v>
      </c>
      <c r="U34">
        <v>3</v>
      </c>
      <c r="V34" s="3" t="s">
        <v>25</v>
      </c>
      <c r="W34" s="3" t="s">
        <v>24</v>
      </c>
      <c r="X34" s="3" t="s">
        <v>29</v>
      </c>
      <c r="Y34" s="3" t="s">
        <v>24</v>
      </c>
      <c r="Z34" s="3" t="s">
        <v>23</v>
      </c>
      <c r="AA34" s="3" t="s">
        <v>25</v>
      </c>
      <c r="AB34" s="3" t="str">
        <f>IF(crimenes_cordoba_ampliado[[#This Row],[Hubo Arresto]]="Sí", "Resuelto", "Pendiente")</f>
        <v>Pendiente</v>
      </c>
      <c r="AC34" s="3" t="s">
        <v>24</v>
      </c>
      <c r="AD34" s="3"/>
    </row>
    <row r="35" spans="1:30" x14ac:dyDescent="0.25">
      <c r="A35">
        <v>422</v>
      </c>
      <c r="B35" s="1">
        <v>42138</v>
      </c>
      <c r="C35" s="33">
        <f t="shared" si="0"/>
        <v>42138</v>
      </c>
      <c r="D35" s="34">
        <f t="shared" si="1"/>
        <v>42138</v>
      </c>
      <c r="E35" s="35" t="s">
        <v>1454</v>
      </c>
      <c r="F35" s="2">
        <v>0.84166666666666667</v>
      </c>
      <c r="G35" s="3" t="s">
        <v>38</v>
      </c>
      <c r="H35" s="3" t="s">
        <v>60</v>
      </c>
      <c r="I35" s="25" t="str">
        <f>VLOOKUP(H35,Tabla5[#All],4,FALSE)</f>
        <v>-31,4076397196409, -64,2020170430678</v>
      </c>
      <c r="J35" s="1">
        <v>25003</v>
      </c>
      <c r="K35" s="7">
        <f>INT((crimenes_cordoba_ampliado[[#This Row],[Fecha]]-crimenes_cordoba_ampliado[[#This Row],[Fecha Nac. Delincuente]])/365)</f>
        <v>46</v>
      </c>
      <c r="L35" s="7" t="str">
        <f>_xlfn.XLOOKUP(crimenes_cordoba_ampliado[[#This Row],[EDAD DELINCUENTE]],'Rango etareo'!$A$10:$A$25,'Rango etareo'!$B$10:$B$25,,-1)</f>
        <v>46 - 55</v>
      </c>
      <c r="M35" s="3" t="s">
        <v>21</v>
      </c>
      <c r="N35" s="3" t="str">
        <f>IF(crimenes_cordoba_ampliado[[#This Row],[Género Delincuente]]="Femenino","🚺","🚹")</f>
        <v>🚺</v>
      </c>
      <c r="O35">
        <v>4</v>
      </c>
      <c r="P35" s="1">
        <v>35534</v>
      </c>
      <c r="Q35" s="7">
        <f>INT((crimenes_cordoba_ampliado[[#This Row],[Fecha]]-crimenes_cordoba_ampliado[[#This Row],[Fecha Nac. Víctima]])/365)</f>
        <v>18</v>
      </c>
      <c r="R35" s="7" t="str">
        <f>_xlfn.XLOOKUP(crimenes_cordoba_ampliado[[#This Row],[EDAD VICTIMA]],'Rango etareo'!$A$2:$A$25,'Rango etareo'!$B$2:$B$25,,-1)</f>
        <v>18 - 25</v>
      </c>
      <c r="S35" s="3" t="s">
        <v>21</v>
      </c>
      <c r="T35" s="3" t="str">
        <f>IF(crimenes_cordoba_ampliado[[#This Row],[Género Víctima]]="Masculino","🚹","🚺")</f>
        <v>🚺</v>
      </c>
      <c r="U35">
        <v>1</v>
      </c>
      <c r="V35" s="3" t="s">
        <v>25</v>
      </c>
      <c r="W35" s="3" t="s">
        <v>71</v>
      </c>
      <c r="X35" s="3" t="s">
        <v>24</v>
      </c>
      <c r="Y35" s="3" t="s">
        <v>77</v>
      </c>
      <c r="Z35" s="3" t="s">
        <v>23</v>
      </c>
      <c r="AA35" s="3" t="s">
        <v>25</v>
      </c>
      <c r="AB35" s="3" t="str">
        <f>IF(crimenes_cordoba_ampliado[[#This Row],[Hubo Arresto]]="Sí", "Resuelto", "Pendiente")</f>
        <v>Pendiente</v>
      </c>
      <c r="AC35" s="3" t="s">
        <v>24</v>
      </c>
      <c r="AD35" s="3"/>
    </row>
    <row r="36" spans="1:30" x14ac:dyDescent="0.25">
      <c r="A36">
        <v>33</v>
      </c>
      <c r="B36" s="1">
        <v>43499</v>
      </c>
      <c r="C36" s="33">
        <f t="shared" si="0"/>
        <v>43499</v>
      </c>
      <c r="D36" s="34">
        <f t="shared" si="1"/>
        <v>43499</v>
      </c>
      <c r="E36" s="35" t="s">
        <v>1449</v>
      </c>
      <c r="F36" s="2">
        <v>0.82916666666666672</v>
      </c>
      <c r="G36" s="3" t="s">
        <v>54</v>
      </c>
      <c r="H36" s="3" t="s">
        <v>28</v>
      </c>
      <c r="I36" s="25" t="str">
        <f>VLOOKUP(H36,Tabla5[#All],4,FALSE)</f>
        <v>-31,4129883640337, -64,1681120522587</v>
      </c>
      <c r="J36" s="1">
        <v>18648</v>
      </c>
      <c r="K36" s="7">
        <f>INT((crimenes_cordoba_ampliado[[#This Row],[Fecha]]-crimenes_cordoba_ampliado[[#This Row],[Fecha Nac. Delincuente]])/365)</f>
        <v>68</v>
      </c>
      <c r="L36" s="7" t="str">
        <f>_xlfn.XLOOKUP(crimenes_cordoba_ampliado[[#This Row],[EDAD DELINCUENTE]],'Rango etareo'!$A$10:$A$25,'Rango etareo'!$B$10:$B$25,,-1)</f>
        <v>&gt;65</v>
      </c>
      <c r="M36" s="3" t="s">
        <v>22</v>
      </c>
      <c r="N36" s="3" t="str">
        <f>IF(crimenes_cordoba_ampliado[[#This Row],[Género Delincuente]]="Femenino","🚺","🚹")</f>
        <v>🚹</v>
      </c>
      <c r="O36">
        <v>2</v>
      </c>
      <c r="P36" s="1">
        <v>29363</v>
      </c>
      <c r="Q36" s="7">
        <f>INT((crimenes_cordoba_ampliado[[#This Row],[Fecha]]-crimenes_cordoba_ampliado[[#This Row],[Fecha Nac. Víctima]])/365)</f>
        <v>38</v>
      </c>
      <c r="R36" s="7" t="str">
        <f>_xlfn.XLOOKUP(crimenes_cordoba_ampliado[[#This Row],[EDAD VICTIMA]],'Rango etareo'!$A$2:$A$25,'Rango etareo'!$B$2:$B$25,,-1)</f>
        <v>36 - 45</v>
      </c>
      <c r="S36" s="3" t="s">
        <v>21</v>
      </c>
      <c r="T36" s="3" t="str">
        <f>IF(crimenes_cordoba_ampliado[[#This Row],[Género Víctima]]="Masculino","🚹","🚺")</f>
        <v>🚺</v>
      </c>
      <c r="U36">
        <v>2</v>
      </c>
      <c r="V36" s="3" t="s">
        <v>23</v>
      </c>
      <c r="W36" s="3" t="s">
        <v>83</v>
      </c>
      <c r="X36" s="3" t="s">
        <v>41</v>
      </c>
      <c r="Y36" s="3" t="s">
        <v>24</v>
      </c>
      <c r="Z36" s="3" t="s">
        <v>25</v>
      </c>
      <c r="AA36" s="3" t="s">
        <v>25</v>
      </c>
      <c r="AB36" s="3" t="str">
        <f>IF(crimenes_cordoba_ampliado[[#This Row],[Hubo Arresto]]="Sí", "Resuelto", "Pendiente")</f>
        <v>Resuelto</v>
      </c>
      <c r="AC36" s="3" t="s">
        <v>84</v>
      </c>
      <c r="AD36" s="3"/>
    </row>
    <row r="37" spans="1:30" x14ac:dyDescent="0.25">
      <c r="A37">
        <v>35</v>
      </c>
      <c r="B37" s="1">
        <v>43631</v>
      </c>
      <c r="C37" s="33">
        <f t="shared" si="0"/>
        <v>43631</v>
      </c>
      <c r="D37" s="34">
        <f t="shared" si="1"/>
        <v>43631</v>
      </c>
      <c r="E37" s="35" t="s">
        <v>1451</v>
      </c>
      <c r="F37" s="2">
        <v>0.97916666666666663</v>
      </c>
      <c r="G37" s="3" t="s">
        <v>45</v>
      </c>
      <c r="H37" s="3" t="s">
        <v>52</v>
      </c>
      <c r="I37" s="25" t="str">
        <f>VLOOKUP(H37,Tabla5[#All],4,FALSE)</f>
        <v>-31,3477902896523, -64,2644406169297</v>
      </c>
      <c r="J37" s="1">
        <v>27820</v>
      </c>
      <c r="K37" s="7">
        <f>INT((crimenes_cordoba_ampliado[[#This Row],[Fecha]]-crimenes_cordoba_ampliado[[#This Row],[Fecha Nac. Delincuente]])/365)</f>
        <v>43</v>
      </c>
      <c r="L37" s="7" t="str">
        <f>_xlfn.XLOOKUP(crimenes_cordoba_ampliado[[#This Row],[EDAD DELINCUENTE]],'Rango etareo'!$A$10:$A$25,'Rango etareo'!$B$10:$B$25,,-1)</f>
        <v>36 - 45</v>
      </c>
      <c r="M37" s="3" t="s">
        <v>22</v>
      </c>
      <c r="N37" s="3" t="str">
        <f>IF(crimenes_cordoba_ampliado[[#This Row],[Género Delincuente]]="Femenino","🚺","🚹")</f>
        <v>🚹</v>
      </c>
      <c r="O37">
        <v>5</v>
      </c>
      <c r="P37" s="1">
        <v>40707</v>
      </c>
      <c r="Q37" s="7">
        <f>INT((crimenes_cordoba_ampliado[[#This Row],[Fecha]]-crimenes_cordoba_ampliado[[#This Row],[Fecha Nac. Víctima]])/365)</f>
        <v>8</v>
      </c>
      <c r="R37" s="7" t="str">
        <f>_xlfn.XLOOKUP(crimenes_cordoba_ampliado[[#This Row],[EDAD VICTIMA]],'Rango etareo'!$A$2:$A$25,'Rango etareo'!$B$2:$B$25,,-1)</f>
        <v>&lt;=17</v>
      </c>
      <c r="S37" s="3" t="s">
        <v>21</v>
      </c>
      <c r="T37" s="3" t="str">
        <f>IF(crimenes_cordoba_ampliado[[#This Row],[Género Víctima]]="Masculino","🚹","🚺")</f>
        <v>🚺</v>
      </c>
      <c r="U37">
        <v>1</v>
      </c>
      <c r="V37" s="3" t="s">
        <v>23</v>
      </c>
      <c r="W37" s="3" t="s">
        <v>83</v>
      </c>
      <c r="X37" s="3" t="s">
        <v>41</v>
      </c>
      <c r="Y37" s="3" t="s">
        <v>24</v>
      </c>
      <c r="Z37" s="3" t="s">
        <v>23</v>
      </c>
      <c r="AA37" s="3" t="s">
        <v>25</v>
      </c>
      <c r="AB37" s="3" t="str">
        <f>IF(crimenes_cordoba_ampliado[[#This Row],[Hubo Arresto]]="Sí", "Resuelto", "Pendiente")</f>
        <v>Resuelto</v>
      </c>
      <c r="AC37" s="3" t="s">
        <v>85</v>
      </c>
      <c r="AD37" s="3"/>
    </row>
    <row r="38" spans="1:30" x14ac:dyDescent="0.25">
      <c r="A38">
        <v>37</v>
      </c>
      <c r="B38" s="1">
        <v>43689</v>
      </c>
      <c r="C38" s="33">
        <f t="shared" si="0"/>
        <v>43689</v>
      </c>
      <c r="D38" s="34">
        <f t="shared" si="1"/>
        <v>43689</v>
      </c>
      <c r="E38" s="35" t="s">
        <v>1452</v>
      </c>
      <c r="F38" s="2">
        <v>0.84722222222222221</v>
      </c>
      <c r="G38" s="3" t="s">
        <v>45</v>
      </c>
      <c r="H38" s="3" t="s">
        <v>52</v>
      </c>
      <c r="I38" s="25" t="str">
        <f>VLOOKUP(H38,Tabla5[#All],4,FALSE)</f>
        <v>-31,3477902896523, -64,2644406169297</v>
      </c>
      <c r="J38" s="1">
        <v>18529</v>
      </c>
      <c r="K38" s="7">
        <f>INT((crimenes_cordoba_ampliado[[#This Row],[Fecha]]-crimenes_cordoba_ampliado[[#This Row],[Fecha Nac. Delincuente]])/365)</f>
        <v>68</v>
      </c>
      <c r="L38" s="7" t="str">
        <f>_xlfn.XLOOKUP(crimenes_cordoba_ampliado[[#This Row],[EDAD DELINCUENTE]],'Rango etareo'!$A$10:$A$25,'Rango etareo'!$B$10:$B$25,,-1)</f>
        <v>&gt;65</v>
      </c>
      <c r="M38" s="3" t="s">
        <v>22</v>
      </c>
      <c r="N38" s="3" t="str">
        <f>IF(crimenes_cordoba_ampliado[[#This Row],[Género Delincuente]]="Femenino","🚺","🚹")</f>
        <v>🚹</v>
      </c>
      <c r="O38">
        <v>3</v>
      </c>
      <c r="P38" s="1">
        <v>37930</v>
      </c>
      <c r="Q38" s="7">
        <f>INT((crimenes_cordoba_ampliado[[#This Row],[Fecha]]-crimenes_cordoba_ampliado[[#This Row],[Fecha Nac. Víctima]])/365)</f>
        <v>15</v>
      </c>
      <c r="R38" s="7" t="str">
        <f>_xlfn.XLOOKUP(crimenes_cordoba_ampliado[[#This Row],[EDAD VICTIMA]],'Rango etareo'!$A$2:$A$25,'Rango etareo'!$B$2:$B$25,,-1)</f>
        <v>&lt;=17</v>
      </c>
      <c r="S38" s="3" t="s">
        <v>22</v>
      </c>
      <c r="T38" s="3" t="str">
        <f>IF(crimenes_cordoba_ampliado[[#This Row],[Género Víctima]]="Masculino","🚹","🚺")</f>
        <v>🚹</v>
      </c>
      <c r="U38">
        <v>1</v>
      </c>
      <c r="V38" s="3" t="s">
        <v>23</v>
      </c>
      <c r="W38" s="3" t="s">
        <v>24</v>
      </c>
      <c r="X38" s="3" t="s">
        <v>24</v>
      </c>
      <c r="Y38" s="3" t="s">
        <v>33</v>
      </c>
      <c r="Z38" s="3" t="s">
        <v>25</v>
      </c>
      <c r="AA38" s="3" t="s">
        <v>23</v>
      </c>
      <c r="AB38" s="3" t="str">
        <f>IF(crimenes_cordoba_ampliado[[#This Row],[Hubo Arresto]]="Sí", "Resuelto", "Pendiente")</f>
        <v>Resuelto</v>
      </c>
      <c r="AC38" s="3" t="s">
        <v>87</v>
      </c>
      <c r="AD38" s="3"/>
    </row>
    <row r="39" spans="1:30" x14ac:dyDescent="0.25">
      <c r="A39">
        <v>39</v>
      </c>
      <c r="B39" s="1">
        <v>42182</v>
      </c>
      <c r="C39" s="33">
        <f t="shared" si="0"/>
        <v>42182</v>
      </c>
      <c r="D39" s="34">
        <f t="shared" si="1"/>
        <v>42182</v>
      </c>
      <c r="E39" s="35" t="s">
        <v>1451</v>
      </c>
      <c r="F39" s="2">
        <v>0.6020833333333333</v>
      </c>
      <c r="G39" s="3" t="s">
        <v>42</v>
      </c>
      <c r="H39" s="3" t="s">
        <v>40</v>
      </c>
      <c r="I39" s="25" t="str">
        <f>VLOOKUP(H39,Tabla5[#All],4,FALSE)</f>
        <v>-31,334500143441, -64,2460773260564</v>
      </c>
      <c r="J39" s="1">
        <v>37149</v>
      </c>
      <c r="K39" s="7">
        <f>INT((crimenes_cordoba_ampliado[[#This Row],[Fecha]]-crimenes_cordoba_ampliado[[#This Row],[Fecha Nac. Delincuente]])/365)</f>
        <v>13</v>
      </c>
      <c r="L39" s="7" t="str">
        <f>_xlfn.XLOOKUP(crimenes_cordoba_ampliado[[#This Row],[EDAD DELINCUENTE]],'Rango etareo'!$A$10:$A$25,'Rango etareo'!$B$10:$B$25,,-1)</f>
        <v>&lt;=17</v>
      </c>
      <c r="M39" s="3" t="s">
        <v>22</v>
      </c>
      <c r="N39" s="3" t="str">
        <f>IF(crimenes_cordoba_ampliado[[#This Row],[Género Delincuente]]="Femenino","🚺","🚹")</f>
        <v>🚹</v>
      </c>
      <c r="O39">
        <v>4</v>
      </c>
      <c r="P39" s="1">
        <v>18106</v>
      </c>
      <c r="Q39" s="7">
        <f>INT((crimenes_cordoba_ampliado[[#This Row],[Fecha]]-crimenes_cordoba_ampliado[[#This Row],[Fecha Nac. Víctima]])/365)</f>
        <v>65</v>
      </c>
      <c r="R39" s="7" t="str">
        <f>_xlfn.XLOOKUP(crimenes_cordoba_ampliado[[#This Row],[EDAD VICTIMA]],'Rango etareo'!$A$2:$A$25,'Rango etareo'!$B$2:$B$25,,-1)</f>
        <v>&gt;65</v>
      </c>
      <c r="S39" s="3" t="s">
        <v>21</v>
      </c>
      <c r="T39" s="3" t="str">
        <f>IF(crimenes_cordoba_ampliado[[#This Row],[Género Víctima]]="Masculino","🚹","🚺")</f>
        <v>🚺</v>
      </c>
      <c r="U39">
        <v>1</v>
      </c>
      <c r="V39" s="3" t="s">
        <v>23</v>
      </c>
      <c r="W39" s="3" t="s">
        <v>24</v>
      </c>
      <c r="X39" s="3" t="s">
        <v>24</v>
      </c>
      <c r="Y39" s="3" t="s">
        <v>43</v>
      </c>
      <c r="Z39" s="3" t="s">
        <v>25</v>
      </c>
      <c r="AA39" s="3" t="s">
        <v>25</v>
      </c>
      <c r="AB39" s="3" t="str">
        <f>IF(crimenes_cordoba_ampliado[[#This Row],[Hubo Arresto]]="Sí", "Resuelto", "Pendiente")</f>
        <v>Resuelto</v>
      </c>
      <c r="AC39" s="3" t="s">
        <v>88</v>
      </c>
      <c r="AD39" s="3"/>
    </row>
    <row r="40" spans="1:30" x14ac:dyDescent="0.25">
      <c r="A40">
        <v>366</v>
      </c>
      <c r="B40" s="1">
        <v>42154</v>
      </c>
      <c r="C40" s="33">
        <f t="shared" si="0"/>
        <v>42154</v>
      </c>
      <c r="D40" s="34">
        <f t="shared" si="1"/>
        <v>42154</v>
      </c>
      <c r="E40" s="35" t="s">
        <v>1451</v>
      </c>
      <c r="F40" s="2">
        <v>0.42916666666666664</v>
      </c>
      <c r="G40" s="3" t="s">
        <v>81</v>
      </c>
      <c r="H40" s="3" t="s">
        <v>28</v>
      </c>
      <c r="I40" s="25" t="str">
        <f>VLOOKUP(H40,Tabla5[#All],4,FALSE)</f>
        <v>-31,4129883640337, -64,1681120522587</v>
      </c>
      <c r="J40" s="1">
        <v>21162</v>
      </c>
      <c r="K40" s="7">
        <f>INT((crimenes_cordoba_ampliado[[#This Row],[Fecha]]-crimenes_cordoba_ampliado[[#This Row],[Fecha Nac. Delincuente]])/365)</f>
        <v>57</v>
      </c>
      <c r="L40" s="7" t="str">
        <f>_xlfn.XLOOKUP(crimenes_cordoba_ampliado[[#This Row],[EDAD DELINCUENTE]],'Rango etareo'!$A$10:$A$25,'Rango etareo'!$B$10:$B$25,,-1)</f>
        <v>56 - 65</v>
      </c>
      <c r="M40" s="3" t="s">
        <v>22</v>
      </c>
      <c r="N40" s="3" t="str">
        <f>IF(crimenes_cordoba_ampliado[[#This Row],[Género Delincuente]]="Femenino","🚺","🚹")</f>
        <v>🚹</v>
      </c>
      <c r="O40">
        <v>1</v>
      </c>
      <c r="P40" s="1">
        <v>39987</v>
      </c>
      <c r="Q40" s="7">
        <f>INT((crimenes_cordoba_ampliado[[#This Row],[Fecha]]-crimenes_cordoba_ampliado[[#This Row],[Fecha Nac. Víctima]])/365)</f>
        <v>5</v>
      </c>
      <c r="R40" s="7" t="str">
        <f>_xlfn.XLOOKUP(crimenes_cordoba_ampliado[[#This Row],[EDAD VICTIMA]],'Rango etareo'!$A$2:$A$25,'Rango etareo'!$B$2:$B$25,,-1)</f>
        <v>&lt;=17</v>
      </c>
      <c r="S40" s="3" t="s">
        <v>21</v>
      </c>
      <c r="T40" s="3" t="str">
        <f>IF(crimenes_cordoba_ampliado[[#This Row],[Género Víctima]]="Masculino","🚹","🚺")</f>
        <v>🚺</v>
      </c>
      <c r="U40">
        <v>2</v>
      </c>
      <c r="V40" s="3" t="s">
        <v>25</v>
      </c>
      <c r="W40" s="3" t="s">
        <v>24</v>
      </c>
      <c r="X40" s="3" t="s">
        <v>24</v>
      </c>
      <c r="Y40" s="3" t="s">
        <v>24</v>
      </c>
      <c r="Z40" s="3" t="s">
        <v>25</v>
      </c>
      <c r="AA40" s="3" t="s">
        <v>23</v>
      </c>
      <c r="AB40" s="3" t="str">
        <f>IF(crimenes_cordoba_ampliado[[#This Row],[Hubo Arresto]]="Sí", "Resuelto", "Pendiente")</f>
        <v>Pendiente</v>
      </c>
      <c r="AC40" s="3" t="s">
        <v>24</v>
      </c>
      <c r="AD40" s="3"/>
    </row>
    <row r="41" spans="1:30" x14ac:dyDescent="0.25">
      <c r="A41">
        <v>179</v>
      </c>
      <c r="B41" s="1">
        <v>42155</v>
      </c>
      <c r="C41" s="33">
        <f t="shared" si="0"/>
        <v>42155</v>
      </c>
      <c r="D41" s="34">
        <f t="shared" si="1"/>
        <v>42155</v>
      </c>
      <c r="E41" s="35" t="s">
        <v>1449</v>
      </c>
      <c r="F41" s="2">
        <v>0.64097222222222228</v>
      </c>
      <c r="G41" s="3" t="s">
        <v>19</v>
      </c>
      <c r="H41" s="3" t="s">
        <v>20</v>
      </c>
      <c r="I41" s="25" t="str">
        <f>VLOOKUP(H41,Tabla5[#All],4,FALSE)</f>
        <v>-31,4800162965848, -64,2094200976892</v>
      </c>
      <c r="J41" s="1">
        <v>32367</v>
      </c>
      <c r="K41" s="7">
        <f>INT((crimenes_cordoba_ampliado[[#This Row],[Fecha]]-crimenes_cordoba_ampliado[[#This Row],[Fecha Nac. Delincuente]])/365)</f>
        <v>26</v>
      </c>
      <c r="L41" s="7" t="str">
        <f>_xlfn.XLOOKUP(crimenes_cordoba_ampliado[[#This Row],[EDAD DELINCUENTE]],'Rango etareo'!$A$10:$A$25,'Rango etareo'!$B$10:$B$25,,-1)</f>
        <v>26 - 35</v>
      </c>
      <c r="M41" s="3" t="s">
        <v>22</v>
      </c>
      <c r="N41" s="3" t="str">
        <f>IF(crimenes_cordoba_ampliado[[#This Row],[Género Delincuente]]="Femenino","🚺","🚹")</f>
        <v>🚹</v>
      </c>
      <c r="O41">
        <v>1</v>
      </c>
      <c r="P41" s="1">
        <v>25888</v>
      </c>
      <c r="Q41" s="7">
        <f>INT((crimenes_cordoba_ampliado[[#This Row],[Fecha]]-crimenes_cordoba_ampliado[[#This Row],[Fecha Nac. Víctima]])/365)</f>
        <v>44</v>
      </c>
      <c r="R41" s="7" t="str">
        <f>_xlfn.XLOOKUP(crimenes_cordoba_ampliado[[#This Row],[EDAD VICTIMA]],'Rango etareo'!$A$2:$A$25,'Rango etareo'!$B$2:$B$25,,-1)</f>
        <v>36 - 45</v>
      </c>
      <c r="S41" s="3" t="s">
        <v>22</v>
      </c>
      <c r="T41" s="3" t="str">
        <f>IF(crimenes_cordoba_ampliado[[#This Row],[Género Víctima]]="Masculino","🚹","🚺")</f>
        <v>🚹</v>
      </c>
      <c r="U41">
        <v>1</v>
      </c>
      <c r="V41" s="3" t="s">
        <v>25</v>
      </c>
      <c r="W41" s="3" t="s">
        <v>24</v>
      </c>
      <c r="X41" s="3" t="s">
        <v>24</v>
      </c>
      <c r="Y41" s="3" t="s">
        <v>113</v>
      </c>
      <c r="Z41" s="3" t="s">
        <v>25</v>
      </c>
      <c r="AA41" s="3" t="s">
        <v>23</v>
      </c>
      <c r="AB41" s="3" t="str">
        <f>IF(crimenes_cordoba_ampliado[[#This Row],[Hubo Arresto]]="Sí", "Resuelto", "Pendiente")</f>
        <v>Pendiente</v>
      </c>
      <c r="AC41" s="3" t="s">
        <v>24</v>
      </c>
      <c r="AD41" s="3"/>
    </row>
    <row r="42" spans="1:30" x14ac:dyDescent="0.25">
      <c r="A42">
        <v>295</v>
      </c>
      <c r="B42" s="1">
        <v>42158</v>
      </c>
      <c r="C42" s="33">
        <f t="shared" si="0"/>
        <v>42158</v>
      </c>
      <c r="D42" s="34">
        <f t="shared" si="1"/>
        <v>42158</v>
      </c>
      <c r="E42" s="35" t="s">
        <v>1450</v>
      </c>
      <c r="F42" s="2">
        <v>0.12430555555555556</v>
      </c>
      <c r="G42" s="3" t="s">
        <v>35</v>
      </c>
      <c r="H42" s="3" t="s">
        <v>58</v>
      </c>
      <c r="I42" s="25" t="str">
        <f>VLOOKUP(H42,Tabla5[#All],4,FALSE)</f>
        <v>-31,423018915313, -64,1493562190664</v>
      </c>
      <c r="J42" s="1">
        <v>38736</v>
      </c>
      <c r="K42" s="7">
        <f>INT((crimenes_cordoba_ampliado[[#This Row],[Fecha]]-crimenes_cordoba_ampliado[[#This Row],[Fecha Nac. Delincuente]])/365)</f>
        <v>9</v>
      </c>
      <c r="L42" s="7" t="str">
        <f>_xlfn.XLOOKUP(crimenes_cordoba_ampliado[[#This Row],[EDAD DELINCUENTE]],'Rango etareo'!$A$10:$A$25,'Rango etareo'!$B$10:$B$25,,-1)</f>
        <v>&lt;=17</v>
      </c>
      <c r="M42" s="3" t="s">
        <v>21</v>
      </c>
      <c r="N42" s="3" t="str">
        <f>IF(crimenes_cordoba_ampliado[[#This Row],[Género Delincuente]]="Femenino","🚺","🚹")</f>
        <v>🚺</v>
      </c>
      <c r="O42">
        <v>5</v>
      </c>
      <c r="P42" s="1">
        <v>23730</v>
      </c>
      <c r="Q42" s="7">
        <f>INT((crimenes_cordoba_ampliado[[#This Row],[Fecha]]-crimenes_cordoba_ampliado[[#This Row],[Fecha Nac. Víctima]])/365)</f>
        <v>50</v>
      </c>
      <c r="R42" s="7" t="str">
        <f>_xlfn.XLOOKUP(crimenes_cordoba_ampliado[[#This Row],[EDAD VICTIMA]],'Rango etareo'!$A$2:$A$25,'Rango etareo'!$B$2:$B$25,,-1)</f>
        <v>46 - 55</v>
      </c>
      <c r="S42" s="3" t="s">
        <v>21</v>
      </c>
      <c r="T42" s="3" t="str">
        <f>IF(crimenes_cordoba_ampliado[[#This Row],[Género Víctima]]="Masculino","🚹","🚺")</f>
        <v>🚺</v>
      </c>
      <c r="U42">
        <v>3</v>
      </c>
      <c r="V42" s="3" t="s">
        <v>25</v>
      </c>
      <c r="W42" s="3" t="s">
        <v>24</v>
      </c>
      <c r="X42" s="3" t="s">
        <v>24</v>
      </c>
      <c r="Y42" s="3" t="s">
        <v>46</v>
      </c>
      <c r="Z42" s="3" t="s">
        <v>23</v>
      </c>
      <c r="AA42" s="3" t="s">
        <v>23</v>
      </c>
      <c r="AB42" s="3" t="str">
        <f>IF(crimenes_cordoba_ampliado[[#This Row],[Hubo Arresto]]="Sí", "Resuelto", "Pendiente")</f>
        <v>Pendiente</v>
      </c>
      <c r="AC42" s="3" t="s">
        <v>24</v>
      </c>
      <c r="AD42" s="3"/>
    </row>
    <row r="43" spans="1:30" x14ac:dyDescent="0.25">
      <c r="A43">
        <v>40</v>
      </c>
      <c r="B43" s="1">
        <v>45363</v>
      </c>
      <c r="C43" s="33">
        <f t="shared" si="0"/>
        <v>45363</v>
      </c>
      <c r="D43" s="34">
        <f t="shared" si="1"/>
        <v>45363</v>
      </c>
      <c r="E43" s="35" t="s">
        <v>1453</v>
      </c>
      <c r="F43" s="2">
        <v>0.53194444444444444</v>
      </c>
      <c r="G43" s="3" t="s">
        <v>48</v>
      </c>
      <c r="H43" s="3" t="s">
        <v>55</v>
      </c>
      <c r="I43" s="25" t="str">
        <f>VLOOKUP(H43,Tabla5[#All],4,FALSE)</f>
        <v>-31,4015892433235, -64,160442876477</v>
      </c>
      <c r="J43" s="1">
        <v>37829</v>
      </c>
      <c r="K43" s="7">
        <f>INT((crimenes_cordoba_ampliado[[#This Row],[Fecha]]-crimenes_cordoba_ampliado[[#This Row],[Fecha Nac. Delincuente]])/365)</f>
        <v>20</v>
      </c>
      <c r="L43" s="7" t="str">
        <f>_xlfn.XLOOKUP(crimenes_cordoba_ampliado[[#This Row],[EDAD DELINCUENTE]],'Rango etareo'!$A$10:$A$25,'Rango etareo'!$B$10:$B$25,,-1)</f>
        <v>18 - 25</v>
      </c>
      <c r="M43" s="3" t="s">
        <v>22</v>
      </c>
      <c r="N43" s="3" t="str">
        <f>IF(crimenes_cordoba_ampliado[[#This Row],[Género Delincuente]]="Femenino","🚺","🚹")</f>
        <v>🚹</v>
      </c>
      <c r="O43">
        <v>4</v>
      </c>
      <c r="P43" s="1">
        <v>29942</v>
      </c>
      <c r="Q43" s="7">
        <f>INT((crimenes_cordoba_ampliado[[#This Row],[Fecha]]-crimenes_cordoba_ampliado[[#This Row],[Fecha Nac. Víctima]])/365)</f>
        <v>42</v>
      </c>
      <c r="R43" s="7" t="str">
        <f>_xlfn.XLOOKUP(crimenes_cordoba_ampliado[[#This Row],[EDAD VICTIMA]],'Rango etareo'!$A$2:$A$25,'Rango etareo'!$B$2:$B$25,,-1)</f>
        <v>36 - 45</v>
      </c>
      <c r="S43" s="3" t="s">
        <v>21</v>
      </c>
      <c r="T43" s="3" t="str">
        <f>IF(crimenes_cordoba_ampliado[[#This Row],[Género Víctima]]="Masculino","🚹","🚺")</f>
        <v>🚺</v>
      </c>
      <c r="U43">
        <v>1</v>
      </c>
      <c r="V43" s="3" t="s">
        <v>23</v>
      </c>
      <c r="W43" s="3" t="s">
        <v>24</v>
      </c>
      <c r="X43" s="3" t="s">
        <v>24</v>
      </c>
      <c r="Y43" s="3" t="s">
        <v>89</v>
      </c>
      <c r="Z43" s="3" t="s">
        <v>25</v>
      </c>
      <c r="AA43" s="3" t="s">
        <v>25</v>
      </c>
      <c r="AB43" s="3" t="str">
        <f>IF(crimenes_cordoba_ampliado[[#This Row],[Hubo Arresto]]="Sí", "Resuelto", "Pendiente")</f>
        <v>Resuelto</v>
      </c>
      <c r="AC43" s="3" t="s">
        <v>90</v>
      </c>
      <c r="AD43" s="3"/>
    </row>
    <row r="44" spans="1:30" x14ac:dyDescent="0.25">
      <c r="A44">
        <v>42</v>
      </c>
      <c r="B44" s="1">
        <v>45100</v>
      </c>
      <c r="C44" s="33">
        <f t="shared" si="0"/>
        <v>45100</v>
      </c>
      <c r="D44" s="34">
        <f t="shared" si="1"/>
        <v>45100</v>
      </c>
      <c r="E44" s="35" t="s">
        <v>1455</v>
      </c>
      <c r="F44" s="2">
        <v>0.81805555555555554</v>
      </c>
      <c r="G44" s="3" t="s">
        <v>79</v>
      </c>
      <c r="H44" s="3" t="s">
        <v>52</v>
      </c>
      <c r="I44" s="25" t="str">
        <f>VLOOKUP(H44,Tabla5[#All],4,FALSE)</f>
        <v>-31,3477902896523, -64,2644406169297</v>
      </c>
      <c r="J44" s="1">
        <v>30660</v>
      </c>
      <c r="K44" s="7">
        <f>INT((crimenes_cordoba_ampliado[[#This Row],[Fecha]]-crimenes_cordoba_ampliado[[#This Row],[Fecha Nac. Delincuente]])/365)</f>
        <v>39</v>
      </c>
      <c r="L44" s="7" t="str">
        <f>_xlfn.XLOOKUP(crimenes_cordoba_ampliado[[#This Row],[EDAD DELINCUENTE]],'Rango etareo'!$A$10:$A$25,'Rango etareo'!$B$10:$B$25,,-1)</f>
        <v>36 - 45</v>
      </c>
      <c r="M44" s="3" t="s">
        <v>22</v>
      </c>
      <c r="N44" s="3" t="str">
        <f>IF(crimenes_cordoba_ampliado[[#This Row],[Género Delincuente]]="Femenino","🚺","🚹")</f>
        <v>🚹</v>
      </c>
      <c r="O44">
        <v>5</v>
      </c>
      <c r="P44" s="1">
        <v>16144</v>
      </c>
      <c r="Q44" s="7">
        <f>INT((crimenes_cordoba_ampliado[[#This Row],[Fecha]]-crimenes_cordoba_ampliado[[#This Row],[Fecha Nac. Víctima]])/365)</f>
        <v>79</v>
      </c>
      <c r="R44" s="7" t="str">
        <f>_xlfn.XLOOKUP(crimenes_cordoba_ampliado[[#This Row],[EDAD VICTIMA]],'Rango etareo'!$A$2:$A$25,'Rango etareo'!$B$2:$B$25,,-1)</f>
        <v>&gt;65</v>
      </c>
      <c r="S44" s="3" t="s">
        <v>21</v>
      </c>
      <c r="T44" s="3" t="str">
        <f>IF(crimenes_cordoba_ampliado[[#This Row],[Género Víctima]]="Masculino","🚹","🚺")</f>
        <v>🚺</v>
      </c>
      <c r="U44">
        <v>2</v>
      </c>
      <c r="V44" s="3" t="s">
        <v>23</v>
      </c>
      <c r="W44" s="3" t="s">
        <v>83</v>
      </c>
      <c r="X44" s="3" t="s">
        <v>41</v>
      </c>
      <c r="Y44" s="3" t="s">
        <v>24</v>
      </c>
      <c r="Z44" s="3" t="s">
        <v>23</v>
      </c>
      <c r="AA44" s="3" t="s">
        <v>25</v>
      </c>
      <c r="AB44" s="3" t="str">
        <f>IF(crimenes_cordoba_ampliado[[#This Row],[Hubo Arresto]]="Sí", "Resuelto", "Pendiente")</f>
        <v>Resuelto</v>
      </c>
      <c r="AC44" s="3" t="s">
        <v>91</v>
      </c>
      <c r="AD44" s="3"/>
    </row>
    <row r="45" spans="1:30" x14ac:dyDescent="0.25">
      <c r="A45">
        <v>43</v>
      </c>
      <c r="B45" s="1">
        <v>42356</v>
      </c>
      <c r="C45" s="33">
        <f t="shared" si="0"/>
        <v>42356</v>
      </c>
      <c r="D45" s="34">
        <f t="shared" si="1"/>
        <v>42356</v>
      </c>
      <c r="E45" s="35" t="s">
        <v>1455</v>
      </c>
      <c r="F45" s="2">
        <v>0.64513888888888893</v>
      </c>
      <c r="G45" s="3" t="s">
        <v>45</v>
      </c>
      <c r="H45" s="3" t="s">
        <v>58</v>
      </c>
      <c r="I45" s="25" t="str">
        <f>VLOOKUP(H45,Tabla5[#All],4,FALSE)</f>
        <v>-31,423018915313, -64,1493562190664</v>
      </c>
      <c r="J45" s="1">
        <v>31576</v>
      </c>
      <c r="K45" s="7">
        <f>INT((crimenes_cordoba_ampliado[[#This Row],[Fecha]]-crimenes_cordoba_ampliado[[#This Row],[Fecha Nac. Delincuente]])/365)</f>
        <v>29</v>
      </c>
      <c r="L45" s="7" t="str">
        <f>_xlfn.XLOOKUP(crimenes_cordoba_ampliado[[#This Row],[EDAD DELINCUENTE]],'Rango etareo'!$A$10:$A$25,'Rango etareo'!$B$10:$B$25,,-1)</f>
        <v>26 - 35</v>
      </c>
      <c r="M45" s="3" t="s">
        <v>21</v>
      </c>
      <c r="N45" s="3" t="str">
        <f>IF(crimenes_cordoba_ampliado[[#This Row],[Género Delincuente]]="Femenino","🚺","🚹")</f>
        <v>🚺</v>
      </c>
      <c r="O45">
        <v>1</v>
      </c>
      <c r="P45" s="1">
        <v>17168</v>
      </c>
      <c r="Q45" s="7">
        <f>INT((crimenes_cordoba_ampliado[[#This Row],[Fecha]]-crimenes_cordoba_ampliado[[#This Row],[Fecha Nac. Víctima]])/365)</f>
        <v>69</v>
      </c>
      <c r="R45" s="7" t="str">
        <f>_xlfn.XLOOKUP(crimenes_cordoba_ampliado[[#This Row],[EDAD VICTIMA]],'Rango etareo'!$A$2:$A$25,'Rango etareo'!$B$2:$B$25,,-1)</f>
        <v>&gt;65</v>
      </c>
      <c r="S45" s="3" t="s">
        <v>21</v>
      </c>
      <c r="T45" s="3" t="str">
        <f>IF(crimenes_cordoba_ampliado[[#This Row],[Género Víctima]]="Masculino","🚹","🚺")</f>
        <v>🚺</v>
      </c>
      <c r="U45">
        <v>1</v>
      </c>
      <c r="V45" s="3" t="s">
        <v>23</v>
      </c>
      <c r="W45" s="3" t="s">
        <v>24</v>
      </c>
      <c r="X45" s="3" t="s">
        <v>24</v>
      </c>
      <c r="Y45" s="3" t="s">
        <v>72</v>
      </c>
      <c r="Z45" s="3" t="s">
        <v>23</v>
      </c>
      <c r="AA45" s="3" t="s">
        <v>23</v>
      </c>
      <c r="AB45" s="3" t="str">
        <f>IF(crimenes_cordoba_ampliado[[#This Row],[Hubo Arresto]]="Sí", "Resuelto", "Pendiente")</f>
        <v>Resuelto</v>
      </c>
      <c r="AC45" s="3" t="s">
        <v>92</v>
      </c>
      <c r="AD45" s="3"/>
    </row>
    <row r="46" spans="1:30" x14ac:dyDescent="0.25">
      <c r="A46">
        <v>208</v>
      </c>
      <c r="B46" s="1">
        <v>42165</v>
      </c>
      <c r="C46" s="33">
        <f t="shared" si="0"/>
        <v>42165</v>
      </c>
      <c r="D46" s="34">
        <f t="shared" si="1"/>
        <v>42165</v>
      </c>
      <c r="E46" s="35" t="s">
        <v>1450</v>
      </c>
      <c r="F46" s="2">
        <v>0.41388888888888886</v>
      </c>
      <c r="G46" s="3" t="s">
        <v>45</v>
      </c>
      <c r="H46" s="3" t="s">
        <v>28</v>
      </c>
      <c r="I46" s="25" t="str">
        <f>VLOOKUP(H46,Tabla5[#All],4,FALSE)</f>
        <v>-31,4129883640337, -64,1681120522587</v>
      </c>
      <c r="J46" s="1">
        <v>21337</v>
      </c>
      <c r="K46" s="7">
        <f>INT((crimenes_cordoba_ampliado[[#This Row],[Fecha]]-crimenes_cordoba_ampliado[[#This Row],[Fecha Nac. Delincuente]])/365)</f>
        <v>57</v>
      </c>
      <c r="L46" s="7" t="str">
        <f>_xlfn.XLOOKUP(crimenes_cordoba_ampliado[[#This Row],[EDAD DELINCUENTE]],'Rango etareo'!$A$10:$A$25,'Rango etareo'!$B$10:$B$25,,-1)</f>
        <v>56 - 65</v>
      </c>
      <c r="M46" s="3" t="s">
        <v>22</v>
      </c>
      <c r="N46" s="3" t="str">
        <f>IF(crimenes_cordoba_ampliado[[#This Row],[Género Delincuente]]="Femenino","🚺","🚹")</f>
        <v>🚹</v>
      </c>
      <c r="O46">
        <v>2</v>
      </c>
      <c r="P46" s="1">
        <v>31392</v>
      </c>
      <c r="Q46" s="7">
        <f>INT((crimenes_cordoba_ampliado[[#This Row],[Fecha]]-crimenes_cordoba_ampliado[[#This Row],[Fecha Nac. Víctima]])/365)</f>
        <v>29</v>
      </c>
      <c r="R46" s="7" t="str">
        <f>_xlfn.XLOOKUP(crimenes_cordoba_ampliado[[#This Row],[EDAD VICTIMA]],'Rango etareo'!$A$2:$A$25,'Rango etareo'!$B$2:$B$25,,-1)</f>
        <v>26 - 35</v>
      </c>
      <c r="S46" s="3" t="s">
        <v>22</v>
      </c>
      <c r="T46" s="3" t="str">
        <f>IF(crimenes_cordoba_ampliado[[#This Row],[Género Víctima]]="Masculino","🚹","🚺")</f>
        <v>🚹</v>
      </c>
      <c r="U46">
        <v>3</v>
      </c>
      <c r="V46" s="3" t="s">
        <v>25</v>
      </c>
      <c r="W46" s="3" t="s">
        <v>24</v>
      </c>
      <c r="X46" s="3" t="s">
        <v>24</v>
      </c>
      <c r="Y46" s="3" t="s">
        <v>46</v>
      </c>
      <c r="Z46" s="3" t="s">
        <v>25</v>
      </c>
      <c r="AA46" s="3" t="s">
        <v>25</v>
      </c>
      <c r="AB46" s="3" t="str">
        <f>IF(crimenes_cordoba_ampliado[[#This Row],[Hubo Arresto]]="Sí", "Resuelto", "Pendiente")</f>
        <v>Pendiente</v>
      </c>
      <c r="AC46" s="3" t="s">
        <v>24</v>
      </c>
      <c r="AD46" s="3"/>
    </row>
    <row r="47" spans="1:30" x14ac:dyDescent="0.25">
      <c r="A47">
        <v>44</v>
      </c>
      <c r="B47" s="1">
        <v>42911</v>
      </c>
      <c r="C47" s="33">
        <f t="shared" si="0"/>
        <v>42911</v>
      </c>
      <c r="D47" s="34">
        <f t="shared" si="1"/>
        <v>42911</v>
      </c>
      <c r="E47" s="35" t="s">
        <v>1449</v>
      </c>
      <c r="F47" s="2">
        <v>0.42083333333333334</v>
      </c>
      <c r="G47" s="3" t="s">
        <v>19</v>
      </c>
      <c r="H47" s="3" t="s">
        <v>20</v>
      </c>
      <c r="I47" s="25" t="str">
        <f>VLOOKUP(H47,Tabla5[#All],4,FALSE)</f>
        <v>-31,4800162965848, -64,2094200976892</v>
      </c>
      <c r="J47" s="1">
        <v>19021</v>
      </c>
      <c r="K47" s="7">
        <f>INT((crimenes_cordoba_ampliado[[#This Row],[Fecha]]-crimenes_cordoba_ampliado[[#This Row],[Fecha Nac. Delincuente]])/365)</f>
        <v>65</v>
      </c>
      <c r="L47" s="7" t="str">
        <f>_xlfn.XLOOKUP(crimenes_cordoba_ampliado[[#This Row],[EDAD DELINCUENTE]],'Rango etareo'!$A$10:$A$25,'Rango etareo'!$B$10:$B$25,,-1)</f>
        <v>&gt;65</v>
      </c>
      <c r="M47" s="3" t="s">
        <v>21</v>
      </c>
      <c r="N47" s="3" t="str">
        <f>IF(crimenes_cordoba_ampliado[[#This Row],[Género Delincuente]]="Femenino","🚺","🚹")</f>
        <v>🚺</v>
      </c>
      <c r="O47">
        <v>1</v>
      </c>
      <c r="P47" s="1">
        <v>22907</v>
      </c>
      <c r="Q47" s="7">
        <f>INT((crimenes_cordoba_ampliado[[#This Row],[Fecha]]-crimenes_cordoba_ampliado[[#This Row],[Fecha Nac. Víctima]])/365)</f>
        <v>54</v>
      </c>
      <c r="R47" s="7" t="str">
        <f>_xlfn.XLOOKUP(crimenes_cordoba_ampliado[[#This Row],[EDAD VICTIMA]],'Rango etareo'!$A$2:$A$25,'Rango etareo'!$B$2:$B$25,,-1)</f>
        <v>46 - 55</v>
      </c>
      <c r="S47" s="3" t="s">
        <v>22</v>
      </c>
      <c r="T47" s="3" t="str">
        <f>IF(crimenes_cordoba_ampliado[[#This Row],[Género Víctima]]="Masculino","🚹","🚺")</f>
        <v>🚹</v>
      </c>
      <c r="U47">
        <v>2</v>
      </c>
      <c r="V47" s="3" t="s">
        <v>23</v>
      </c>
      <c r="W47" s="3" t="s">
        <v>24</v>
      </c>
      <c r="X47" s="3" t="s">
        <v>24</v>
      </c>
      <c r="Y47" s="3" t="s">
        <v>86</v>
      </c>
      <c r="Z47" s="3" t="s">
        <v>23</v>
      </c>
      <c r="AA47" s="3" t="s">
        <v>23</v>
      </c>
      <c r="AB47" s="3" t="str">
        <f>IF(crimenes_cordoba_ampliado[[#This Row],[Hubo Arresto]]="Sí", "Resuelto", "Pendiente")</f>
        <v>Resuelto</v>
      </c>
      <c r="AC47" s="3" t="s">
        <v>93</v>
      </c>
      <c r="AD47" s="3"/>
    </row>
    <row r="48" spans="1:30" x14ac:dyDescent="0.25">
      <c r="A48">
        <v>46</v>
      </c>
      <c r="B48" s="1">
        <v>42154</v>
      </c>
      <c r="C48" s="33">
        <f t="shared" si="0"/>
        <v>42154</v>
      </c>
      <c r="D48" s="34">
        <f t="shared" si="1"/>
        <v>42154</v>
      </c>
      <c r="E48" s="35" t="s">
        <v>1451</v>
      </c>
      <c r="F48" s="2">
        <v>0.98124999999999996</v>
      </c>
      <c r="G48" s="3" t="s">
        <v>81</v>
      </c>
      <c r="H48" s="3" t="s">
        <v>20</v>
      </c>
      <c r="I48" s="25" t="str">
        <f>VLOOKUP(H48,Tabla5[#All],4,FALSE)</f>
        <v>-31,4800162965848, -64,2094200976892</v>
      </c>
      <c r="J48" s="1">
        <v>22140</v>
      </c>
      <c r="K48" s="7">
        <f>INT((crimenes_cordoba_ampliado[[#This Row],[Fecha]]-crimenes_cordoba_ampliado[[#This Row],[Fecha Nac. Delincuente]])/365)</f>
        <v>54</v>
      </c>
      <c r="L48" s="7" t="str">
        <f>_xlfn.XLOOKUP(crimenes_cordoba_ampliado[[#This Row],[EDAD DELINCUENTE]],'Rango etareo'!$A$10:$A$25,'Rango etareo'!$B$10:$B$25,,-1)</f>
        <v>46 - 55</v>
      </c>
      <c r="M48" s="3" t="s">
        <v>22</v>
      </c>
      <c r="N48" s="3" t="str">
        <f>IF(crimenes_cordoba_ampliado[[#This Row],[Género Delincuente]]="Femenino","🚺","🚹")</f>
        <v>🚹</v>
      </c>
      <c r="O48">
        <v>3</v>
      </c>
      <c r="P48" s="1">
        <v>25983</v>
      </c>
      <c r="Q48" s="7">
        <f>INT((crimenes_cordoba_ampliado[[#This Row],[Fecha]]-crimenes_cordoba_ampliado[[#This Row],[Fecha Nac. Víctima]])/365)</f>
        <v>44</v>
      </c>
      <c r="R48" s="7" t="str">
        <f>_xlfn.XLOOKUP(crimenes_cordoba_ampliado[[#This Row],[EDAD VICTIMA]],'Rango etareo'!$A$2:$A$25,'Rango etareo'!$B$2:$B$25,,-1)</f>
        <v>36 - 45</v>
      </c>
      <c r="S48" s="3" t="s">
        <v>22</v>
      </c>
      <c r="T48" s="3" t="str">
        <f>IF(crimenes_cordoba_ampliado[[#This Row],[Género Víctima]]="Masculino","🚹","🚺")</f>
        <v>🚹</v>
      </c>
      <c r="U48">
        <v>1</v>
      </c>
      <c r="V48" s="3" t="s">
        <v>23</v>
      </c>
      <c r="W48" s="3" t="s">
        <v>24</v>
      </c>
      <c r="X48" s="3" t="s">
        <v>24</v>
      </c>
      <c r="Y48" s="3" t="s">
        <v>80</v>
      </c>
      <c r="Z48" s="3" t="s">
        <v>23</v>
      </c>
      <c r="AA48" s="3" t="s">
        <v>23</v>
      </c>
      <c r="AB48" s="3" t="str">
        <f>IF(crimenes_cordoba_ampliado[[#This Row],[Hubo Arresto]]="Sí", "Resuelto", "Pendiente")</f>
        <v>Resuelto</v>
      </c>
      <c r="AC48" s="3" t="s">
        <v>94</v>
      </c>
      <c r="AD48" s="3"/>
    </row>
    <row r="49" spans="1:30" x14ac:dyDescent="0.25">
      <c r="A49">
        <v>47</v>
      </c>
      <c r="B49" s="1">
        <v>42576</v>
      </c>
      <c r="C49" s="33">
        <f t="shared" si="0"/>
        <v>42576</v>
      </c>
      <c r="D49" s="34">
        <f t="shared" si="1"/>
        <v>42576</v>
      </c>
      <c r="E49" s="35" t="s">
        <v>1452</v>
      </c>
      <c r="F49" s="2">
        <v>0.5131944444444444</v>
      </c>
      <c r="G49" s="3" t="s">
        <v>54</v>
      </c>
      <c r="H49" s="3" t="s">
        <v>49</v>
      </c>
      <c r="I49" s="25" t="str">
        <f>VLOOKUP(H49,Tabla5[#All],4,FALSE)</f>
        <v>-31,4506257494184, -64,1733054344705</v>
      </c>
      <c r="J49" s="1">
        <v>38129</v>
      </c>
      <c r="K49" s="7">
        <f>INT((crimenes_cordoba_ampliado[[#This Row],[Fecha]]-crimenes_cordoba_ampliado[[#This Row],[Fecha Nac. Delincuente]])/365)</f>
        <v>12</v>
      </c>
      <c r="L49" s="7" t="str">
        <f>_xlfn.XLOOKUP(crimenes_cordoba_ampliado[[#This Row],[EDAD DELINCUENTE]],'Rango etareo'!$A$10:$A$25,'Rango etareo'!$B$10:$B$25,,-1)</f>
        <v>&lt;=17</v>
      </c>
      <c r="M49" s="3" t="s">
        <v>21</v>
      </c>
      <c r="N49" s="3" t="str">
        <f>IF(crimenes_cordoba_ampliado[[#This Row],[Género Delincuente]]="Femenino","🚺","🚹")</f>
        <v>🚺</v>
      </c>
      <c r="O49">
        <v>5</v>
      </c>
      <c r="P49" s="1">
        <v>39026</v>
      </c>
      <c r="Q49" s="7">
        <f>INT((crimenes_cordoba_ampliado[[#This Row],[Fecha]]-crimenes_cordoba_ampliado[[#This Row],[Fecha Nac. Víctima]])/365)</f>
        <v>9</v>
      </c>
      <c r="R49" s="7" t="str">
        <f>_xlfn.XLOOKUP(crimenes_cordoba_ampliado[[#This Row],[EDAD VICTIMA]],'Rango etareo'!$A$2:$A$25,'Rango etareo'!$B$2:$B$25,,-1)</f>
        <v>&lt;=17</v>
      </c>
      <c r="S49" s="3" t="s">
        <v>22</v>
      </c>
      <c r="T49" s="3" t="str">
        <f>IF(crimenes_cordoba_ampliado[[#This Row],[Género Víctima]]="Masculino","🚹","🚺")</f>
        <v>🚹</v>
      </c>
      <c r="U49">
        <v>1</v>
      </c>
      <c r="V49" s="3" t="s">
        <v>23</v>
      </c>
      <c r="W49" s="3" t="s">
        <v>24</v>
      </c>
      <c r="X49" s="3" t="s">
        <v>24</v>
      </c>
      <c r="Y49" s="3" t="s">
        <v>89</v>
      </c>
      <c r="Z49" s="3" t="s">
        <v>25</v>
      </c>
      <c r="AA49" s="3" t="s">
        <v>23</v>
      </c>
      <c r="AB49" s="3" t="str">
        <f>IF(crimenes_cordoba_ampliado[[#This Row],[Hubo Arresto]]="Sí", "Resuelto", "Pendiente")</f>
        <v>Resuelto</v>
      </c>
      <c r="AC49" s="3" t="s">
        <v>95</v>
      </c>
      <c r="AD49" s="3"/>
    </row>
    <row r="50" spans="1:30" x14ac:dyDescent="0.25">
      <c r="A50">
        <v>677</v>
      </c>
      <c r="B50" s="1">
        <v>42190</v>
      </c>
      <c r="C50" s="33">
        <f t="shared" si="0"/>
        <v>42190</v>
      </c>
      <c r="D50" s="34">
        <f t="shared" si="1"/>
        <v>42190</v>
      </c>
      <c r="E50" s="35" t="s">
        <v>1449</v>
      </c>
      <c r="F50" s="2">
        <v>0.61458333333333337</v>
      </c>
      <c r="G50" s="3" t="s">
        <v>42</v>
      </c>
      <c r="H50" s="3" t="s">
        <v>55</v>
      </c>
      <c r="I50" s="25" t="str">
        <f>VLOOKUP(H50,Tabla5[#All],4,FALSE)</f>
        <v>-31,4015892433235, -64,160442876477</v>
      </c>
      <c r="J50" s="1">
        <v>21855</v>
      </c>
      <c r="K50" s="7">
        <f>INT((crimenes_cordoba_ampliado[[#This Row],[Fecha]]-crimenes_cordoba_ampliado[[#This Row],[Fecha Nac. Delincuente]])/365)</f>
        <v>55</v>
      </c>
      <c r="L50" s="7" t="str">
        <f>_xlfn.XLOOKUP(crimenes_cordoba_ampliado[[#This Row],[EDAD DELINCUENTE]],'Rango etareo'!$A$10:$A$25,'Rango etareo'!$B$10:$B$25,,-1)</f>
        <v>46 - 55</v>
      </c>
      <c r="M50" s="3" t="s">
        <v>21</v>
      </c>
      <c r="N50" s="3" t="str">
        <f>IF(crimenes_cordoba_ampliado[[#This Row],[Género Delincuente]]="Femenino","🚺","🚹")</f>
        <v>🚺</v>
      </c>
      <c r="O50">
        <v>4</v>
      </c>
      <c r="P50" s="1">
        <v>32290</v>
      </c>
      <c r="Q50" s="7">
        <f>INT((crimenes_cordoba_ampliado[[#This Row],[Fecha]]-crimenes_cordoba_ampliado[[#This Row],[Fecha Nac. Víctima]])/365)</f>
        <v>27</v>
      </c>
      <c r="R50" s="7" t="str">
        <f>_xlfn.XLOOKUP(crimenes_cordoba_ampliado[[#This Row],[EDAD VICTIMA]],'Rango etareo'!$A$2:$A$25,'Rango etareo'!$B$2:$B$25,,-1)</f>
        <v>26 - 35</v>
      </c>
      <c r="S50" s="3" t="s">
        <v>22</v>
      </c>
      <c r="T50" s="3" t="str">
        <f>IF(crimenes_cordoba_ampliado[[#This Row],[Género Víctima]]="Masculino","🚹","🚺")</f>
        <v>🚹</v>
      </c>
      <c r="U50">
        <v>3</v>
      </c>
      <c r="V50" s="3" t="s">
        <v>25</v>
      </c>
      <c r="W50" s="3" t="s">
        <v>24</v>
      </c>
      <c r="X50" s="3" t="s">
        <v>24</v>
      </c>
      <c r="Y50" s="3" t="s">
        <v>89</v>
      </c>
      <c r="Z50" s="3" t="s">
        <v>23</v>
      </c>
      <c r="AA50" s="3" t="s">
        <v>23</v>
      </c>
      <c r="AB50" s="3" t="str">
        <f>IF(crimenes_cordoba_ampliado[[#This Row],[Hubo Arresto]]="Sí", "Resuelto", "Pendiente")</f>
        <v>Pendiente</v>
      </c>
      <c r="AC50" s="3" t="s">
        <v>24</v>
      </c>
      <c r="AD50" s="3"/>
    </row>
    <row r="51" spans="1:30" x14ac:dyDescent="0.25">
      <c r="A51">
        <v>600</v>
      </c>
      <c r="B51" s="1">
        <v>42195</v>
      </c>
      <c r="C51" s="33">
        <f t="shared" si="0"/>
        <v>42195</v>
      </c>
      <c r="D51" s="34">
        <f t="shared" si="1"/>
        <v>42195</v>
      </c>
      <c r="E51" s="35" t="s">
        <v>1455</v>
      </c>
      <c r="F51" s="2">
        <v>0.68958333333333333</v>
      </c>
      <c r="G51" s="3" t="s">
        <v>19</v>
      </c>
      <c r="H51" s="3" t="s">
        <v>40</v>
      </c>
      <c r="I51" s="25" t="str">
        <f>VLOOKUP(H51,Tabla5[#All],4,FALSE)</f>
        <v>-31,334500143441, -64,2460773260564</v>
      </c>
      <c r="J51" s="1">
        <v>18378</v>
      </c>
      <c r="K51" s="7">
        <f>INT((crimenes_cordoba_ampliado[[#This Row],[Fecha]]-crimenes_cordoba_ampliado[[#This Row],[Fecha Nac. Delincuente]])/365)</f>
        <v>65</v>
      </c>
      <c r="L51" s="7" t="str">
        <f>_xlfn.XLOOKUP(crimenes_cordoba_ampliado[[#This Row],[EDAD DELINCUENTE]],'Rango etareo'!$A$10:$A$25,'Rango etareo'!$B$10:$B$25,,-1)</f>
        <v>&gt;65</v>
      </c>
      <c r="M51" s="3" t="s">
        <v>22</v>
      </c>
      <c r="N51" s="3" t="str">
        <f>IF(crimenes_cordoba_ampliado[[#This Row],[Género Delincuente]]="Femenino","🚺","🚹")</f>
        <v>🚹</v>
      </c>
      <c r="O51">
        <v>5</v>
      </c>
      <c r="P51" s="1">
        <v>34015</v>
      </c>
      <c r="Q51" s="7">
        <f>INT((crimenes_cordoba_ampliado[[#This Row],[Fecha]]-crimenes_cordoba_ampliado[[#This Row],[Fecha Nac. Víctima]])/365)</f>
        <v>22</v>
      </c>
      <c r="R51" s="7" t="str">
        <f>_xlfn.XLOOKUP(crimenes_cordoba_ampliado[[#This Row],[EDAD VICTIMA]],'Rango etareo'!$A$2:$A$25,'Rango etareo'!$B$2:$B$25,,-1)</f>
        <v>18 - 25</v>
      </c>
      <c r="S51" s="3" t="s">
        <v>22</v>
      </c>
      <c r="T51" s="3" t="str">
        <f>IF(crimenes_cordoba_ampliado[[#This Row],[Género Víctima]]="Masculino","🚹","🚺")</f>
        <v>🚹</v>
      </c>
      <c r="U51">
        <v>1</v>
      </c>
      <c r="V51" s="3" t="s">
        <v>25</v>
      </c>
      <c r="W51" s="3" t="s">
        <v>24</v>
      </c>
      <c r="X51" s="3" t="s">
        <v>24</v>
      </c>
      <c r="Y51" s="3" t="s">
        <v>24</v>
      </c>
      <c r="Z51" s="3" t="s">
        <v>25</v>
      </c>
      <c r="AA51" s="3" t="s">
        <v>25</v>
      </c>
      <c r="AB51" s="3" t="str">
        <f>IF(crimenes_cordoba_ampliado[[#This Row],[Hubo Arresto]]="Sí", "Resuelto", "Pendiente")</f>
        <v>Pendiente</v>
      </c>
      <c r="AC51" s="3" t="s">
        <v>24</v>
      </c>
      <c r="AD51" s="3"/>
    </row>
    <row r="52" spans="1:30" x14ac:dyDescent="0.25">
      <c r="A52">
        <v>49</v>
      </c>
      <c r="B52" s="1">
        <v>43669</v>
      </c>
      <c r="C52" s="33">
        <f t="shared" si="0"/>
        <v>43669</v>
      </c>
      <c r="D52" s="34">
        <f t="shared" si="1"/>
        <v>43669</v>
      </c>
      <c r="E52" s="35" t="s">
        <v>1453</v>
      </c>
      <c r="F52" s="2">
        <v>0.47986111111111113</v>
      </c>
      <c r="G52" s="3" t="s">
        <v>45</v>
      </c>
      <c r="H52" s="3" t="s">
        <v>58</v>
      </c>
      <c r="I52" s="25" t="str">
        <f>VLOOKUP(H52,Tabla5[#All],4,FALSE)</f>
        <v>-31,423018915313, -64,1493562190664</v>
      </c>
      <c r="J52" s="1">
        <v>37548</v>
      </c>
      <c r="K52" s="7">
        <f>INT((crimenes_cordoba_ampliado[[#This Row],[Fecha]]-crimenes_cordoba_ampliado[[#This Row],[Fecha Nac. Delincuente]])/365)</f>
        <v>16</v>
      </c>
      <c r="L52" s="7" t="str">
        <f>_xlfn.XLOOKUP(crimenes_cordoba_ampliado[[#This Row],[EDAD DELINCUENTE]],'Rango etareo'!$A$10:$A$25,'Rango etareo'!$B$10:$B$25,,-1)</f>
        <v>&lt;=17</v>
      </c>
      <c r="M52" s="3" t="s">
        <v>21</v>
      </c>
      <c r="N52" s="3" t="str">
        <f>IF(crimenes_cordoba_ampliado[[#This Row],[Género Delincuente]]="Femenino","🚺","🚹")</f>
        <v>🚺</v>
      </c>
      <c r="O52">
        <v>2</v>
      </c>
      <c r="P52" s="1">
        <v>19070</v>
      </c>
      <c r="Q52" s="7">
        <f>INT((crimenes_cordoba_ampliado[[#This Row],[Fecha]]-crimenes_cordoba_ampliado[[#This Row],[Fecha Nac. Víctima]])/365)</f>
        <v>67</v>
      </c>
      <c r="R52" s="7" t="str">
        <f>_xlfn.XLOOKUP(crimenes_cordoba_ampliado[[#This Row],[EDAD VICTIMA]],'Rango etareo'!$A$2:$A$25,'Rango etareo'!$B$2:$B$25,,-1)</f>
        <v>&gt;65</v>
      </c>
      <c r="S52" s="3" t="s">
        <v>21</v>
      </c>
      <c r="T52" s="3" t="str">
        <f>IF(crimenes_cordoba_ampliado[[#This Row],[Género Víctima]]="Masculino","🚹","🚺")</f>
        <v>🚺</v>
      </c>
      <c r="U52">
        <v>3</v>
      </c>
      <c r="V52" s="3" t="s">
        <v>23</v>
      </c>
      <c r="W52" s="3" t="s">
        <v>24</v>
      </c>
      <c r="X52" s="3" t="s">
        <v>24</v>
      </c>
      <c r="Y52" s="3" t="s">
        <v>89</v>
      </c>
      <c r="Z52" s="3" t="s">
        <v>23</v>
      </c>
      <c r="AA52" s="3" t="s">
        <v>25</v>
      </c>
      <c r="AB52" s="3" t="str">
        <f>IF(crimenes_cordoba_ampliado[[#This Row],[Hubo Arresto]]="Sí", "Resuelto", "Pendiente")</f>
        <v>Resuelto</v>
      </c>
      <c r="AC52" s="3" t="s">
        <v>96</v>
      </c>
      <c r="AD52" s="3"/>
    </row>
    <row r="53" spans="1:30" x14ac:dyDescent="0.25">
      <c r="A53">
        <v>119</v>
      </c>
      <c r="B53" s="1">
        <v>42199</v>
      </c>
      <c r="C53" s="33">
        <f t="shared" si="0"/>
        <v>42199</v>
      </c>
      <c r="D53" s="34">
        <f t="shared" si="1"/>
        <v>42199</v>
      </c>
      <c r="E53" s="35" t="s">
        <v>1453</v>
      </c>
      <c r="F53" s="2">
        <v>0.63611111111111107</v>
      </c>
      <c r="G53" s="3" t="s">
        <v>45</v>
      </c>
      <c r="H53" s="3" t="s">
        <v>52</v>
      </c>
      <c r="I53" s="25" t="str">
        <f>VLOOKUP(H53,Tabla5[#All],4,FALSE)</f>
        <v>-31,3477902896523, -64,2644406169297</v>
      </c>
      <c r="J53" s="1">
        <v>19871</v>
      </c>
      <c r="K53" s="7">
        <f>INT((crimenes_cordoba_ampliado[[#This Row],[Fecha]]-crimenes_cordoba_ampliado[[#This Row],[Fecha Nac. Delincuente]])/365)</f>
        <v>61</v>
      </c>
      <c r="L53" s="7" t="str">
        <f>_xlfn.XLOOKUP(crimenes_cordoba_ampliado[[#This Row],[EDAD DELINCUENTE]],'Rango etareo'!$A$10:$A$25,'Rango etareo'!$B$10:$B$25,,-1)</f>
        <v>56 - 65</v>
      </c>
      <c r="M53" s="3" t="s">
        <v>21</v>
      </c>
      <c r="N53" s="3" t="str">
        <f>IF(crimenes_cordoba_ampliado[[#This Row],[Género Delincuente]]="Femenino","🚺","🚹")</f>
        <v>🚺</v>
      </c>
      <c r="O53">
        <v>2</v>
      </c>
      <c r="P53" s="1">
        <v>16809</v>
      </c>
      <c r="Q53" s="7">
        <f>INT((crimenes_cordoba_ampliado[[#This Row],[Fecha]]-crimenes_cordoba_ampliado[[#This Row],[Fecha Nac. Víctima]])/365)</f>
        <v>69</v>
      </c>
      <c r="R53" s="7" t="str">
        <f>_xlfn.XLOOKUP(crimenes_cordoba_ampliado[[#This Row],[EDAD VICTIMA]],'Rango etareo'!$A$2:$A$25,'Rango etareo'!$B$2:$B$25,,-1)</f>
        <v>&gt;65</v>
      </c>
      <c r="S53" s="3" t="s">
        <v>22</v>
      </c>
      <c r="T53" s="3" t="str">
        <f>IF(crimenes_cordoba_ampliado[[#This Row],[Género Víctima]]="Masculino","🚹","🚺")</f>
        <v>🚹</v>
      </c>
      <c r="U53">
        <v>2</v>
      </c>
      <c r="V53" s="3" t="s">
        <v>25</v>
      </c>
      <c r="W53" s="3" t="s">
        <v>24</v>
      </c>
      <c r="X53" s="3" t="s">
        <v>24</v>
      </c>
      <c r="Y53" s="3" t="s">
        <v>72</v>
      </c>
      <c r="Z53" s="3" t="s">
        <v>25</v>
      </c>
      <c r="AA53" s="3" t="s">
        <v>25</v>
      </c>
      <c r="AB53" s="3" t="str">
        <f>IF(crimenes_cordoba_ampliado[[#This Row],[Hubo Arresto]]="Sí", "Resuelto", "Pendiente")</f>
        <v>Pendiente</v>
      </c>
      <c r="AC53" s="3" t="s">
        <v>24</v>
      </c>
      <c r="AD53" s="3"/>
    </row>
    <row r="54" spans="1:30" x14ac:dyDescent="0.25">
      <c r="A54">
        <v>50</v>
      </c>
      <c r="B54" s="1">
        <v>44150</v>
      </c>
      <c r="C54" s="33">
        <f t="shared" si="0"/>
        <v>44150</v>
      </c>
      <c r="D54" s="34">
        <f t="shared" si="1"/>
        <v>44150</v>
      </c>
      <c r="E54" s="35" t="s">
        <v>1449</v>
      </c>
      <c r="F54" s="2">
        <v>0.46180555555555558</v>
      </c>
      <c r="G54" s="3" t="s">
        <v>35</v>
      </c>
      <c r="H54" s="3" t="s">
        <v>32</v>
      </c>
      <c r="I54" s="25" t="str">
        <f>VLOOKUP(H54,Tabla5[#All],4,FALSE)</f>
        <v>-31,4148488101991, -64,1793406489438</v>
      </c>
      <c r="J54" s="1">
        <v>19728</v>
      </c>
      <c r="K54" s="7">
        <f>INT((crimenes_cordoba_ampliado[[#This Row],[Fecha]]-crimenes_cordoba_ampliado[[#This Row],[Fecha Nac. Delincuente]])/365)</f>
        <v>66</v>
      </c>
      <c r="L54" s="7" t="str">
        <f>_xlfn.XLOOKUP(crimenes_cordoba_ampliado[[#This Row],[EDAD DELINCUENTE]],'Rango etareo'!$A$10:$A$25,'Rango etareo'!$B$10:$B$25,,-1)</f>
        <v>&gt;65</v>
      </c>
      <c r="M54" s="3" t="s">
        <v>22</v>
      </c>
      <c r="N54" s="3" t="str">
        <f>IF(crimenes_cordoba_ampliado[[#This Row],[Género Delincuente]]="Femenino","🚺","🚹")</f>
        <v>🚹</v>
      </c>
      <c r="O54">
        <v>3</v>
      </c>
      <c r="P54" s="1">
        <v>21379</v>
      </c>
      <c r="Q54" s="7">
        <f>INT((crimenes_cordoba_ampliado[[#This Row],[Fecha]]-crimenes_cordoba_ampliado[[#This Row],[Fecha Nac. Víctima]])/365)</f>
        <v>62</v>
      </c>
      <c r="R54" s="7" t="str">
        <f>_xlfn.XLOOKUP(crimenes_cordoba_ampliado[[#This Row],[EDAD VICTIMA]],'Rango etareo'!$A$2:$A$25,'Rango etareo'!$B$2:$B$25,,-1)</f>
        <v>56 - 65</v>
      </c>
      <c r="S54" s="3" t="s">
        <v>21</v>
      </c>
      <c r="T54" s="3" t="str">
        <f>IF(crimenes_cordoba_ampliado[[#This Row],[Género Víctima]]="Masculino","🚹","🚺")</f>
        <v>🚺</v>
      </c>
      <c r="U54">
        <v>3</v>
      </c>
      <c r="V54" s="3" t="s">
        <v>23</v>
      </c>
      <c r="W54" s="3" t="s">
        <v>24</v>
      </c>
      <c r="X54" s="3" t="s">
        <v>24</v>
      </c>
      <c r="Y54" s="3" t="s">
        <v>89</v>
      </c>
      <c r="Z54" s="3" t="s">
        <v>23</v>
      </c>
      <c r="AA54" s="3" t="s">
        <v>25</v>
      </c>
      <c r="AB54" s="3" t="str">
        <f>IF(crimenes_cordoba_ampliado[[#This Row],[Hubo Arresto]]="Sí", "Resuelto", "Pendiente")</f>
        <v>Resuelto</v>
      </c>
      <c r="AC54" s="3" t="s">
        <v>97</v>
      </c>
      <c r="AD54" s="3"/>
    </row>
    <row r="55" spans="1:30" x14ac:dyDescent="0.25">
      <c r="A55">
        <v>353</v>
      </c>
      <c r="B55" s="1">
        <v>42201</v>
      </c>
      <c r="C55" s="33">
        <f t="shared" si="0"/>
        <v>42201</v>
      </c>
      <c r="D55" s="34">
        <f t="shared" si="1"/>
        <v>42201</v>
      </c>
      <c r="E55" s="35" t="s">
        <v>1454</v>
      </c>
      <c r="F55" s="2">
        <v>0.37847222222222221</v>
      </c>
      <c r="G55" s="3" t="s">
        <v>42</v>
      </c>
      <c r="H55" s="3" t="s">
        <v>62</v>
      </c>
      <c r="I55" s="25" t="str">
        <f>VLOOKUP(H55,Tabla5[#All],4,FALSE)</f>
        <v>-31,3909520937826, -64,1836424491715</v>
      </c>
      <c r="J55" s="1">
        <v>20174</v>
      </c>
      <c r="K55" s="7">
        <f>INT((crimenes_cordoba_ampliado[[#This Row],[Fecha]]-crimenes_cordoba_ampliado[[#This Row],[Fecha Nac. Delincuente]])/365)</f>
        <v>60</v>
      </c>
      <c r="L55" s="7" t="str">
        <f>_xlfn.XLOOKUP(crimenes_cordoba_ampliado[[#This Row],[EDAD DELINCUENTE]],'Rango etareo'!$A$10:$A$25,'Rango etareo'!$B$10:$B$25,,-1)</f>
        <v>56 - 65</v>
      </c>
      <c r="M55" s="3" t="s">
        <v>22</v>
      </c>
      <c r="N55" s="3" t="str">
        <f>IF(crimenes_cordoba_ampliado[[#This Row],[Género Delincuente]]="Femenino","🚺","🚹")</f>
        <v>🚹</v>
      </c>
      <c r="O55">
        <v>1</v>
      </c>
      <c r="P55" s="1">
        <v>33181</v>
      </c>
      <c r="Q55" s="7">
        <f>INT((crimenes_cordoba_ampliado[[#This Row],[Fecha]]-crimenes_cordoba_ampliado[[#This Row],[Fecha Nac. Víctima]])/365)</f>
        <v>24</v>
      </c>
      <c r="R55" s="7" t="str">
        <f>_xlfn.XLOOKUP(crimenes_cordoba_ampliado[[#This Row],[EDAD VICTIMA]],'Rango etareo'!$A$2:$A$25,'Rango etareo'!$B$2:$B$25,,-1)</f>
        <v>18 - 25</v>
      </c>
      <c r="S55" s="3" t="s">
        <v>21</v>
      </c>
      <c r="T55" s="3" t="str">
        <f>IF(crimenes_cordoba_ampliado[[#This Row],[Género Víctima]]="Masculino","🚹","🚺")</f>
        <v>🚺</v>
      </c>
      <c r="U55">
        <v>2</v>
      </c>
      <c r="V55" s="3" t="s">
        <v>25</v>
      </c>
      <c r="W55" s="3" t="s">
        <v>24</v>
      </c>
      <c r="X55" s="3" t="s">
        <v>24</v>
      </c>
      <c r="Y55" s="3" t="s">
        <v>39</v>
      </c>
      <c r="Z55" s="3" t="s">
        <v>23</v>
      </c>
      <c r="AA55" s="3" t="s">
        <v>25</v>
      </c>
      <c r="AB55" s="3" t="str">
        <f>IF(crimenes_cordoba_ampliado[[#This Row],[Hubo Arresto]]="Sí", "Resuelto", "Pendiente")</f>
        <v>Pendiente</v>
      </c>
      <c r="AC55" s="3" t="s">
        <v>24</v>
      </c>
      <c r="AD55" s="3"/>
    </row>
    <row r="56" spans="1:30" x14ac:dyDescent="0.25">
      <c r="A56">
        <v>983</v>
      </c>
      <c r="B56" s="1">
        <v>42211</v>
      </c>
      <c r="C56" s="33">
        <f t="shared" si="0"/>
        <v>42211</v>
      </c>
      <c r="D56" s="34">
        <f t="shared" si="1"/>
        <v>42211</v>
      </c>
      <c r="E56" s="35" t="s">
        <v>1449</v>
      </c>
      <c r="F56" s="2">
        <v>0.62430555555555556</v>
      </c>
      <c r="G56" s="3" t="s">
        <v>42</v>
      </c>
      <c r="H56" s="3" t="s">
        <v>28</v>
      </c>
      <c r="I56" s="25" t="str">
        <f>VLOOKUP(H56,Tabla5[#All],4,FALSE)</f>
        <v>-31,4129883640337, -64,1681120522587</v>
      </c>
      <c r="J56" s="1">
        <v>31599</v>
      </c>
      <c r="K56" s="7">
        <f>INT((crimenes_cordoba_ampliado[[#This Row],[Fecha]]-crimenes_cordoba_ampliado[[#This Row],[Fecha Nac. Delincuente]])/365)</f>
        <v>29</v>
      </c>
      <c r="L56" s="7" t="str">
        <f>_xlfn.XLOOKUP(crimenes_cordoba_ampliado[[#This Row],[EDAD DELINCUENTE]],'Rango etareo'!$A$10:$A$25,'Rango etareo'!$B$10:$B$25,,-1)</f>
        <v>26 - 35</v>
      </c>
      <c r="M56" s="3" t="s">
        <v>21</v>
      </c>
      <c r="N56" s="3" t="str">
        <f>IF(crimenes_cordoba_ampliado[[#This Row],[Género Delincuente]]="Femenino","🚺","🚹")</f>
        <v>🚺</v>
      </c>
      <c r="O56">
        <v>1</v>
      </c>
      <c r="P56" s="1">
        <v>21559</v>
      </c>
      <c r="Q56" s="7">
        <f>INT((crimenes_cordoba_ampliado[[#This Row],[Fecha]]-crimenes_cordoba_ampliado[[#This Row],[Fecha Nac. Víctima]])/365)</f>
        <v>56</v>
      </c>
      <c r="R56" s="7" t="str">
        <f>_xlfn.XLOOKUP(crimenes_cordoba_ampliado[[#This Row],[EDAD VICTIMA]],'Rango etareo'!$A$2:$A$25,'Rango etareo'!$B$2:$B$25,,-1)</f>
        <v>56 - 65</v>
      </c>
      <c r="S56" s="3" t="s">
        <v>22</v>
      </c>
      <c r="T56" s="3" t="str">
        <f>IF(crimenes_cordoba_ampliado[[#This Row],[Género Víctima]]="Masculino","🚹","🚺")</f>
        <v>🚹</v>
      </c>
      <c r="U56">
        <v>1</v>
      </c>
      <c r="V56" s="3" t="s">
        <v>25</v>
      </c>
      <c r="W56" s="3" t="s">
        <v>24</v>
      </c>
      <c r="X56" s="3" t="s">
        <v>24</v>
      </c>
      <c r="Y56" s="3" t="s">
        <v>39</v>
      </c>
      <c r="Z56" s="3" t="s">
        <v>25</v>
      </c>
      <c r="AA56" s="3" t="s">
        <v>25</v>
      </c>
      <c r="AB56" s="3" t="str">
        <f>IF(crimenes_cordoba_ampliado[[#This Row],[Hubo Arresto]]="Sí", "Resuelto", "Pendiente")</f>
        <v>Pendiente</v>
      </c>
      <c r="AC56" s="3" t="s">
        <v>24</v>
      </c>
      <c r="AD56" s="3"/>
    </row>
    <row r="57" spans="1:30" x14ac:dyDescent="0.25">
      <c r="A57">
        <v>52</v>
      </c>
      <c r="B57" s="1">
        <v>45064</v>
      </c>
      <c r="C57" s="33">
        <f t="shared" si="0"/>
        <v>45064</v>
      </c>
      <c r="D57" s="34">
        <f t="shared" si="1"/>
        <v>45064</v>
      </c>
      <c r="E57" s="35" t="s">
        <v>1454</v>
      </c>
      <c r="F57" s="2">
        <v>0.84652777777777777</v>
      </c>
      <c r="G57" s="3" t="s">
        <v>27</v>
      </c>
      <c r="H57" s="3" t="s">
        <v>60</v>
      </c>
      <c r="I57" s="25" t="str">
        <f>VLOOKUP(H57,Tabla5[#All],4,FALSE)</f>
        <v>-31,4076397196409, -64,2020170430678</v>
      </c>
      <c r="J57" s="1">
        <v>30277</v>
      </c>
      <c r="K57" s="7">
        <f>INT((crimenes_cordoba_ampliado[[#This Row],[Fecha]]-crimenes_cordoba_ampliado[[#This Row],[Fecha Nac. Delincuente]])/365)</f>
        <v>40</v>
      </c>
      <c r="L57" s="7" t="str">
        <f>_xlfn.XLOOKUP(crimenes_cordoba_ampliado[[#This Row],[EDAD DELINCUENTE]],'Rango etareo'!$A$10:$A$25,'Rango etareo'!$B$10:$B$25,,-1)</f>
        <v>36 - 45</v>
      </c>
      <c r="M57" s="3" t="s">
        <v>22</v>
      </c>
      <c r="N57" s="3" t="str">
        <f>IF(crimenes_cordoba_ampliado[[#This Row],[Género Delincuente]]="Femenino","🚺","🚹")</f>
        <v>🚹</v>
      </c>
      <c r="O57">
        <v>5</v>
      </c>
      <c r="P57" s="1">
        <v>16565</v>
      </c>
      <c r="Q57" s="7">
        <f>INT((crimenes_cordoba_ampliado[[#This Row],[Fecha]]-crimenes_cordoba_ampliado[[#This Row],[Fecha Nac. Víctima]])/365)</f>
        <v>78</v>
      </c>
      <c r="R57" s="7" t="str">
        <f>_xlfn.XLOOKUP(crimenes_cordoba_ampliado[[#This Row],[EDAD VICTIMA]],'Rango etareo'!$A$2:$A$25,'Rango etareo'!$B$2:$B$25,,-1)</f>
        <v>&gt;65</v>
      </c>
      <c r="S57" s="3" t="s">
        <v>21</v>
      </c>
      <c r="T57" s="3" t="str">
        <f>IF(crimenes_cordoba_ampliado[[#This Row],[Género Víctima]]="Masculino","🚹","🚺")</f>
        <v>🚺</v>
      </c>
      <c r="U57">
        <v>1</v>
      </c>
      <c r="V57" s="3" t="s">
        <v>23</v>
      </c>
      <c r="W57" s="3" t="s">
        <v>71</v>
      </c>
      <c r="X57" s="3" t="s">
        <v>24</v>
      </c>
      <c r="Y57" s="3" t="s">
        <v>99</v>
      </c>
      <c r="Z57" s="3" t="s">
        <v>25</v>
      </c>
      <c r="AA57" s="3" t="s">
        <v>25</v>
      </c>
      <c r="AB57" s="3" t="str">
        <f>IF(crimenes_cordoba_ampliado[[#This Row],[Hubo Arresto]]="Sí", "Resuelto", "Pendiente")</f>
        <v>Resuelto</v>
      </c>
      <c r="AC57" s="3" t="s">
        <v>100</v>
      </c>
      <c r="AD57" s="3"/>
    </row>
    <row r="58" spans="1:30" x14ac:dyDescent="0.25">
      <c r="A58">
        <v>448</v>
      </c>
      <c r="B58" s="1">
        <v>42226</v>
      </c>
      <c r="C58" s="33">
        <f t="shared" si="0"/>
        <v>42226</v>
      </c>
      <c r="D58" s="34">
        <f t="shared" si="1"/>
        <v>42226</v>
      </c>
      <c r="E58" s="35" t="s">
        <v>1452</v>
      </c>
      <c r="F58" s="2">
        <v>5.0694444444444445E-2</v>
      </c>
      <c r="G58" s="3" t="s">
        <v>51</v>
      </c>
      <c r="H58" s="3" t="s">
        <v>55</v>
      </c>
      <c r="I58" s="25" t="str">
        <f>VLOOKUP(H58,Tabla5[#All],4,FALSE)</f>
        <v>-31,4015892433235, -64,160442876477</v>
      </c>
      <c r="J58" s="1">
        <v>20729</v>
      </c>
      <c r="K58" s="7">
        <f>INT((crimenes_cordoba_ampliado[[#This Row],[Fecha]]-crimenes_cordoba_ampliado[[#This Row],[Fecha Nac. Delincuente]])/365)</f>
        <v>58</v>
      </c>
      <c r="L58" s="7" t="str">
        <f>_xlfn.XLOOKUP(crimenes_cordoba_ampliado[[#This Row],[EDAD DELINCUENTE]],'Rango etareo'!$A$10:$A$25,'Rango etareo'!$B$10:$B$25,,-1)</f>
        <v>56 - 65</v>
      </c>
      <c r="M58" s="3" t="s">
        <v>21</v>
      </c>
      <c r="N58" s="3" t="str">
        <f>IF(crimenes_cordoba_ampliado[[#This Row],[Género Delincuente]]="Femenino","🚺","🚹")</f>
        <v>🚺</v>
      </c>
      <c r="O58">
        <v>4</v>
      </c>
      <c r="P58" s="1">
        <v>24647</v>
      </c>
      <c r="Q58" s="7">
        <f>INT((crimenes_cordoba_ampliado[[#This Row],[Fecha]]-crimenes_cordoba_ampliado[[#This Row],[Fecha Nac. Víctima]])/365)</f>
        <v>48</v>
      </c>
      <c r="R58" s="7" t="str">
        <f>_xlfn.XLOOKUP(crimenes_cordoba_ampliado[[#This Row],[EDAD VICTIMA]],'Rango etareo'!$A$2:$A$25,'Rango etareo'!$B$2:$B$25,,-1)</f>
        <v>46 - 55</v>
      </c>
      <c r="S58" s="3" t="s">
        <v>21</v>
      </c>
      <c r="T58" s="3" t="str">
        <f>IF(crimenes_cordoba_ampliado[[#This Row],[Género Víctima]]="Masculino","🚹","🚺")</f>
        <v>🚺</v>
      </c>
      <c r="U58">
        <v>2</v>
      </c>
      <c r="V58" s="3" t="s">
        <v>25</v>
      </c>
      <c r="W58" s="3" t="s">
        <v>24</v>
      </c>
      <c r="X58" s="3" t="s">
        <v>24</v>
      </c>
      <c r="Y58" s="3" t="s">
        <v>24</v>
      </c>
      <c r="Z58" s="3" t="s">
        <v>25</v>
      </c>
      <c r="AA58" s="3" t="s">
        <v>23</v>
      </c>
      <c r="AB58" s="3" t="str">
        <f>IF(crimenes_cordoba_ampliado[[#This Row],[Hubo Arresto]]="Sí", "Resuelto", "Pendiente")</f>
        <v>Pendiente</v>
      </c>
      <c r="AC58" s="3" t="s">
        <v>24</v>
      </c>
      <c r="AD58" s="3"/>
    </row>
    <row r="59" spans="1:30" x14ac:dyDescent="0.25">
      <c r="A59">
        <v>695</v>
      </c>
      <c r="B59" s="1">
        <v>42229</v>
      </c>
      <c r="C59" s="33">
        <f t="shared" si="0"/>
        <v>42229</v>
      </c>
      <c r="D59" s="34">
        <f t="shared" si="1"/>
        <v>42229</v>
      </c>
      <c r="E59" s="35" t="s">
        <v>1454</v>
      </c>
      <c r="F59" s="2">
        <v>0.82430555555555551</v>
      </c>
      <c r="G59" s="3" t="s">
        <v>51</v>
      </c>
      <c r="H59" s="3" t="s">
        <v>28</v>
      </c>
      <c r="I59" s="25" t="str">
        <f>VLOOKUP(H59,Tabla5[#All],4,FALSE)</f>
        <v>-31,4129883640337, -64,1681120522587</v>
      </c>
      <c r="J59" s="1">
        <v>25006</v>
      </c>
      <c r="K59" s="7">
        <f>INT((crimenes_cordoba_ampliado[[#This Row],[Fecha]]-crimenes_cordoba_ampliado[[#This Row],[Fecha Nac. Delincuente]])/365)</f>
        <v>47</v>
      </c>
      <c r="L59" s="7" t="str">
        <f>_xlfn.XLOOKUP(crimenes_cordoba_ampliado[[#This Row],[EDAD DELINCUENTE]],'Rango etareo'!$A$10:$A$25,'Rango etareo'!$B$10:$B$25,,-1)</f>
        <v>46 - 55</v>
      </c>
      <c r="M59" s="3" t="s">
        <v>21</v>
      </c>
      <c r="N59" s="3" t="str">
        <f>IF(crimenes_cordoba_ampliado[[#This Row],[Género Delincuente]]="Femenino","🚺","🚹")</f>
        <v>🚺</v>
      </c>
      <c r="O59">
        <v>1</v>
      </c>
      <c r="P59" s="1">
        <v>41244</v>
      </c>
      <c r="Q59" s="7">
        <f>INT((crimenes_cordoba_ampliado[[#This Row],[Fecha]]-crimenes_cordoba_ampliado[[#This Row],[Fecha Nac. Víctima]])/365)</f>
        <v>2</v>
      </c>
      <c r="R59" s="7" t="str">
        <f>_xlfn.XLOOKUP(crimenes_cordoba_ampliado[[#This Row],[EDAD VICTIMA]],'Rango etareo'!$A$2:$A$25,'Rango etareo'!$B$2:$B$25,,-1)</f>
        <v>&lt;=17</v>
      </c>
      <c r="S59" s="3" t="s">
        <v>22</v>
      </c>
      <c r="T59" s="3" t="str">
        <f>IF(crimenes_cordoba_ampliado[[#This Row],[Género Víctima]]="Masculino","🚹","🚺")</f>
        <v>🚹</v>
      </c>
      <c r="U59">
        <v>1</v>
      </c>
      <c r="V59" s="3" t="s">
        <v>25</v>
      </c>
      <c r="W59" s="3" t="s">
        <v>24</v>
      </c>
      <c r="X59" s="3" t="s">
        <v>24</v>
      </c>
      <c r="Y59" s="3" t="s">
        <v>98</v>
      </c>
      <c r="Z59" s="3" t="s">
        <v>25</v>
      </c>
      <c r="AA59" s="3" t="s">
        <v>23</v>
      </c>
      <c r="AB59" s="3" t="str">
        <f>IF(crimenes_cordoba_ampliado[[#This Row],[Hubo Arresto]]="Sí", "Resuelto", "Pendiente")</f>
        <v>Pendiente</v>
      </c>
      <c r="AC59" s="3" t="s">
        <v>24</v>
      </c>
      <c r="AD59" s="3"/>
    </row>
    <row r="60" spans="1:30" x14ac:dyDescent="0.25">
      <c r="A60">
        <v>56</v>
      </c>
      <c r="B60" s="1">
        <v>42016</v>
      </c>
      <c r="C60" s="33">
        <f t="shared" si="0"/>
        <v>42016</v>
      </c>
      <c r="D60" s="34">
        <f t="shared" si="1"/>
        <v>42016</v>
      </c>
      <c r="E60" s="35" t="s">
        <v>1452</v>
      </c>
      <c r="F60" s="2">
        <v>0.44583333333333336</v>
      </c>
      <c r="G60" s="3" t="s">
        <v>38</v>
      </c>
      <c r="H60" s="3" t="s">
        <v>62</v>
      </c>
      <c r="I60" s="25" t="str">
        <f>VLOOKUP(H60,Tabla5[#All],4,FALSE)</f>
        <v>-31,3909520937826, -64,1836424491715</v>
      </c>
      <c r="J60" s="1">
        <v>22136</v>
      </c>
      <c r="K60" s="7">
        <f>INT((crimenes_cordoba_ampliado[[#This Row],[Fecha]]-crimenes_cordoba_ampliado[[#This Row],[Fecha Nac. Delincuente]])/365)</f>
        <v>54</v>
      </c>
      <c r="L60" s="7" t="str">
        <f>_xlfn.XLOOKUP(crimenes_cordoba_ampliado[[#This Row],[EDAD DELINCUENTE]],'Rango etareo'!$A$10:$A$25,'Rango etareo'!$B$10:$B$25,,-1)</f>
        <v>46 - 55</v>
      </c>
      <c r="M60" s="3" t="s">
        <v>22</v>
      </c>
      <c r="N60" s="3" t="str">
        <f>IF(crimenes_cordoba_ampliado[[#This Row],[Género Delincuente]]="Femenino","🚺","🚹")</f>
        <v>🚹</v>
      </c>
      <c r="O60">
        <v>2</v>
      </c>
      <c r="P60" s="1">
        <v>38341</v>
      </c>
      <c r="Q60" s="7">
        <f>INT((crimenes_cordoba_ampliado[[#This Row],[Fecha]]-crimenes_cordoba_ampliado[[#This Row],[Fecha Nac. Víctima]])/365)</f>
        <v>10</v>
      </c>
      <c r="R60" s="7" t="str">
        <f>_xlfn.XLOOKUP(crimenes_cordoba_ampliado[[#This Row],[EDAD VICTIMA]],'Rango etareo'!$A$2:$A$25,'Rango etareo'!$B$2:$B$25,,-1)</f>
        <v>&lt;=17</v>
      </c>
      <c r="S60" s="3" t="s">
        <v>21</v>
      </c>
      <c r="T60" s="3" t="str">
        <f>IF(crimenes_cordoba_ampliado[[#This Row],[Género Víctima]]="Masculino","🚹","🚺")</f>
        <v>🚺</v>
      </c>
      <c r="U60">
        <v>1</v>
      </c>
      <c r="V60" s="3" t="s">
        <v>23</v>
      </c>
      <c r="W60" s="3" t="s">
        <v>24</v>
      </c>
      <c r="X60" s="3" t="s">
        <v>24</v>
      </c>
      <c r="Y60" s="3" t="s">
        <v>39</v>
      </c>
      <c r="Z60" s="3" t="s">
        <v>25</v>
      </c>
      <c r="AA60" s="3" t="s">
        <v>23</v>
      </c>
      <c r="AB60" s="3" t="str">
        <f>IF(crimenes_cordoba_ampliado[[#This Row],[Hubo Arresto]]="Sí", "Resuelto", "Pendiente")</f>
        <v>Resuelto</v>
      </c>
      <c r="AC60" s="3" t="s">
        <v>102</v>
      </c>
      <c r="AD60" s="3"/>
    </row>
    <row r="61" spans="1:30" x14ac:dyDescent="0.25">
      <c r="A61">
        <v>58</v>
      </c>
      <c r="B61" s="1">
        <v>44116</v>
      </c>
      <c r="C61" s="33">
        <f t="shared" si="0"/>
        <v>44116</v>
      </c>
      <c r="D61" s="34">
        <f t="shared" si="1"/>
        <v>44116</v>
      </c>
      <c r="E61" s="35" t="s">
        <v>1452</v>
      </c>
      <c r="F61" s="2">
        <v>0.88055555555555554</v>
      </c>
      <c r="G61" s="3" t="s">
        <v>42</v>
      </c>
      <c r="H61" s="3" t="s">
        <v>28</v>
      </c>
      <c r="I61" s="25" t="str">
        <f>VLOOKUP(H61,Tabla5[#All],4,FALSE)</f>
        <v>-31,4129883640337, -64,1681120522587</v>
      </c>
      <c r="J61" s="1">
        <v>24376</v>
      </c>
      <c r="K61" s="7">
        <f>INT((crimenes_cordoba_ampliado[[#This Row],[Fecha]]-crimenes_cordoba_ampliado[[#This Row],[Fecha Nac. Delincuente]])/365)</f>
        <v>54</v>
      </c>
      <c r="L61" s="7" t="str">
        <f>_xlfn.XLOOKUP(crimenes_cordoba_ampliado[[#This Row],[EDAD DELINCUENTE]],'Rango etareo'!$A$10:$A$25,'Rango etareo'!$B$10:$B$25,,-1)</f>
        <v>46 - 55</v>
      </c>
      <c r="M61" s="3" t="s">
        <v>22</v>
      </c>
      <c r="N61" s="3" t="str">
        <f>IF(crimenes_cordoba_ampliado[[#This Row],[Género Delincuente]]="Femenino","🚺","🚹")</f>
        <v>🚹</v>
      </c>
      <c r="O61">
        <v>2</v>
      </c>
      <c r="P61" s="1">
        <v>24535</v>
      </c>
      <c r="Q61" s="7">
        <f>INT((crimenes_cordoba_ampliado[[#This Row],[Fecha]]-crimenes_cordoba_ampliado[[#This Row],[Fecha Nac. Víctima]])/365)</f>
        <v>53</v>
      </c>
      <c r="R61" s="7" t="str">
        <f>_xlfn.XLOOKUP(crimenes_cordoba_ampliado[[#This Row],[EDAD VICTIMA]],'Rango etareo'!$A$2:$A$25,'Rango etareo'!$B$2:$B$25,,-1)</f>
        <v>46 - 55</v>
      </c>
      <c r="S61" s="3" t="s">
        <v>21</v>
      </c>
      <c r="T61" s="3" t="str">
        <f>IF(crimenes_cordoba_ampliado[[#This Row],[Género Víctima]]="Masculino","🚹","🚺")</f>
        <v>🚺</v>
      </c>
      <c r="U61">
        <v>1</v>
      </c>
      <c r="V61" s="3" t="s">
        <v>23</v>
      </c>
      <c r="W61" s="3" t="s">
        <v>36</v>
      </c>
      <c r="X61" s="3" t="s">
        <v>67</v>
      </c>
      <c r="Y61" s="3" t="s">
        <v>24</v>
      </c>
      <c r="Z61" s="3" t="s">
        <v>23</v>
      </c>
      <c r="AA61" s="3" t="s">
        <v>25</v>
      </c>
      <c r="AB61" s="3" t="str">
        <f>IF(crimenes_cordoba_ampliado[[#This Row],[Hubo Arresto]]="Sí", "Resuelto", "Pendiente")</f>
        <v>Resuelto</v>
      </c>
      <c r="AC61" s="3" t="s">
        <v>103</v>
      </c>
      <c r="AD61" s="3"/>
    </row>
    <row r="62" spans="1:30" x14ac:dyDescent="0.25">
      <c r="A62">
        <v>934</v>
      </c>
      <c r="B62" s="1">
        <v>42246</v>
      </c>
      <c r="C62" s="33">
        <f t="shared" si="0"/>
        <v>42246</v>
      </c>
      <c r="D62" s="34">
        <f t="shared" si="1"/>
        <v>42246</v>
      </c>
      <c r="E62" s="35" t="s">
        <v>1449</v>
      </c>
      <c r="F62" s="2">
        <v>0.79583333333333328</v>
      </c>
      <c r="G62" s="3" t="s">
        <v>45</v>
      </c>
      <c r="H62" s="3" t="s">
        <v>65</v>
      </c>
      <c r="I62" s="25" t="str">
        <f>VLOOKUP(H62,Tabla5[#All],4,FALSE)</f>
        <v>-31,4285567311661, -64,1853198281007</v>
      </c>
      <c r="J62" s="1">
        <v>20360</v>
      </c>
      <c r="K62" s="7">
        <f>INT((crimenes_cordoba_ampliado[[#This Row],[Fecha]]-crimenes_cordoba_ampliado[[#This Row],[Fecha Nac. Delincuente]])/365)</f>
        <v>59</v>
      </c>
      <c r="L62" s="7" t="str">
        <f>_xlfn.XLOOKUP(crimenes_cordoba_ampliado[[#This Row],[EDAD DELINCUENTE]],'Rango etareo'!$A$10:$A$25,'Rango etareo'!$B$10:$B$25,,-1)</f>
        <v>56 - 65</v>
      </c>
      <c r="M62" s="3" t="s">
        <v>21</v>
      </c>
      <c r="N62" s="3" t="str">
        <f>IF(crimenes_cordoba_ampliado[[#This Row],[Género Delincuente]]="Femenino","🚺","🚹")</f>
        <v>🚺</v>
      </c>
      <c r="O62">
        <v>3</v>
      </c>
      <c r="P62" s="1">
        <v>22196</v>
      </c>
      <c r="Q62" s="7">
        <f>INT((crimenes_cordoba_ampliado[[#This Row],[Fecha]]-crimenes_cordoba_ampliado[[#This Row],[Fecha Nac. Víctima]])/365)</f>
        <v>54</v>
      </c>
      <c r="R62" s="7" t="str">
        <f>_xlfn.XLOOKUP(crimenes_cordoba_ampliado[[#This Row],[EDAD VICTIMA]],'Rango etareo'!$A$2:$A$25,'Rango etareo'!$B$2:$B$25,,-1)</f>
        <v>46 - 55</v>
      </c>
      <c r="S62" s="3" t="s">
        <v>21</v>
      </c>
      <c r="T62" s="3" t="str">
        <f>IF(crimenes_cordoba_ampliado[[#This Row],[Género Víctima]]="Masculino","🚹","🚺")</f>
        <v>🚺</v>
      </c>
      <c r="U62">
        <v>3</v>
      </c>
      <c r="V62" s="3" t="s">
        <v>25</v>
      </c>
      <c r="W62" s="3" t="s">
        <v>24</v>
      </c>
      <c r="X62" s="3" t="s">
        <v>24</v>
      </c>
      <c r="Y62" s="3" t="s">
        <v>80</v>
      </c>
      <c r="Z62" s="3" t="s">
        <v>23</v>
      </c>
      <c r="AA62" s="3" t="s">
        <v>25</v>
      </c>
      <c r="AB62" s="3" t="str">
        <f>IF(crimenes_cordoba_ampliado[[#This Row],[Hubo Arresto]]="Sí", "Resuelto", "Pendiente")</f>
        <v>Pendiente</v>
      </c>
      <c r="AC62" s="3" t="s">
        <v>24</v>
      </c>
      <c r="AD62" s="3"/>
    </row>
    <row r="63" spans="1:30" x14ac:dyDescent="0.25">
      <c r="A63">
        <v>787</v>
      </c>
      <c r="B63" s="1">
        <v>42247</v>
      </c>
      <c r="C63" s="33">
        <f t="shared" si="0"/>
        <v>42247</v>
      </c>
      <c r="D63" s="34">
        <f t="shared" si="1"/>
        <v>42247</v>
      </c>
      <c r="E63" s="35" t="s">
        <v>1452</v>
      </c>
      <c r="F63" s="2">
        <v>0.80902777777777779</v>
      </c>
      <c r="G63" s="3" t="s">
        <v>51</v>
      </c>
      <c r="H63" s="3" t="s">
        <v>55</v>
      </c>
      <c r="I63" s="25" t="str">
        <f>VLOOKUP(H63,Tabla5[#All],4,FALSE)</f>
        <v>-31,4015892433235, -64,160442876477</v>
      </c>
      <c r="J63" s="1">
        <v>27508</v>
      </c>
      <c r="K63" s="7">
        <f>INT((crimenes_cordoba_ampliado[[#This Row],[Fecha]]-crimenes_cordoba_ampliado[[#This Row],[Fecha Nac. Delincuente]])/365)</f>
        <v>40</v>
      </c>
      <c r="L63" s="7" t="str">
        <f>_xlfn.XLOOKUP(crimenes_cordoba_ampliado[[#This Row],[EDAD DELINCUENTE]],'Rango etareo'!$A$10:$A$25,'Rango etareo'!$B$10:$B$25,,-1)</f>
        <v>36 - 45</v>
      </c>
      <c r="M63" s="3" t="s">
        <v>22</v>
      </c>
      <c r="N63" s="3" t="str">
        <f>IF(crimenes_cordoba_ampliado[[#This Row],[Género Delincuente]]="Femenino","🚺","🚹")</f>
        <v>🚹</v>
      </c>
      <c r="O63">
        <v>2</v>
      </c>
      <c r="P63" s="1">
        <v>33674</v>
      </c>
      <c r="Q63" s="7">
        <f>INT((crimenes_cordoba_ampliado[[#This Row],[Fecha]]-crimenes_cordoba_ampliado[[#This Row],[Fecha Nac. Víctima]])/365)</f>
        <v>23</v>
      </c>
      <c r="R63" s="7" t="str">
        <f>_xlfn.XLOOKUP(crimenes_cordoba_ampliado[[#This Row],[EDAD VICTIMA]],'Rango etareo'!$A$2:$A$25,'Rango etareo'!$B$2:$B$25,,-1)</f>
        <v>18 - 25</v>
      </c>
      <c r="S63" s="3" t="s">
        <v>21</v>
      </c>
      <c r="T63" s="3" t="str">
        <f>IF(crimenes_cordoba_ampliado[[#This Row],[Género Víctima]]="Masculino","🚹","🚺")</f>
        <v>🚺</v>
      </c>
      <c r="U63">
        <v>2</v>
      </c>
      <c r="V63" s="3" t="s">
        <v>25</v>
      </c>
      <c r="W63" s="3" t="s">
        <v>36</v>
      </c>
      <c r="X63" s="3" t="s">
        <v>41</v>
      </c>
      <c r="Y63" s="3" t="s">
        <v>24</v>
      </c>
      <c r="Z63" s="3" t="s">
        <v>25</v>
      </c>
      <c r="AA63" s="3" t="s">
        <v>23</v>
      </c>
      <c r="AB63" s="3" t="str">
        <f>IF(crimenes_cordoba_ampliado[[#This Row],[Hubo Arresto]]="Sí", "Resuelto", "Pendiente")</f>
        <v>Pendiente</v>
      </c>
      <c r="AC63" s="3" t="s">
        <v>24</v>
      </c>
      <c r="AD63" s="3"/>
    </row>
    <row r="64" spans="1:30" x14ac:dyDescent="0.25">
      <c r="A64">
        <v>350</v>
      </c>
      <c r="B64" s="1">
        <v>42248</v>
      </c>
      <c r="C64" s="33">
        <f t="shared" si="0"/>
        <v>42248</v>
      </c>
      <c r="D64" s="34">
        <f t="shared" si="1"/>
        <v>42248</v>
      </c>
      <c r="E64" s="35" t="s">
        <v>1453</v>
      </c>
      <c r="F64" s="2">
        <v>0.70277777777777772</v>
      </c>
      <c r="G64" s="3" t="s">
        <v>79</v>
      </c>
      <c r="H64" s="3" t="s">
        <v>70</v>
      </c>
      <c r="I64" s="25" t="str">
        <f>VLOOKUP(H64,Tabla5[#All],4,FALSE)</f>
        <v>-31,3759272890294, -64,2284587792478</v>
      </c>
      <c r="J64" s="1">
        <v>31389</v>
      </c>
      <c r="K64" s="7">
        <f>INT((crimenes_cordoba_ampliado[[#This Row],[Fecha]]-crimenes_cordoba_ampliado[[#This Row],[Fecha Nac. Delincuente]])/365)</f>
        <v>29</v>
      </c>
      <c r="L64" s="7" t="str">
        <f>_xlfn.XLOOKUP(crimenes_cordoba_ampliado[[#This Row],[EDAD DELINCUENTE]],'Rango etareo'!$A$10:$A$25,'Rango etareo'!$B$10:$B$25,,-1)</f>
        <v>26 - 35</v>
      </c>
      <c r="M64" s="3" t="s">
        <v>22</v>
      </c>
      <c r="N64" s="3" t="str">
        <f>IF(crimenes_cordoba_ampliado[[#This Row],[Género Delincuente]]="Femenino","🚺","🚹")</f>
        <v>🚹</v>
      </c>
      <c r="O64">
        <v>3</v>
      </c>
      <c r="P64" s="1">
        <v>36765</v>
      </c>
      <c r="Q64" s="7">
        <f>INT((crimenes_cordoba_ampliado[[#This Row],[Fecha]]-crimenes_cordoba_ampliado[[#This Row],[Fecha Nac. Víctima]])/365)</f>
        <v>15</v>
      </c>
      <c r="R64" s="7" t="str">
        <f>_xlfn.XLOOKUP(crimenes_cordoba_ampliado[[#This Row],[EDAD VICTIMA]],'Rango etareo'!$A$2:$A$25,'Rango etareo'!$B$2:$B$25,,-1)</f>
        <v>&lt;=17</v>
      </c>
      <c r="S64" s="3" t="s">
        <v>21</v>
      </c>
      <c r="T64" s="3" t="str">
        <f>IF(crimenes_cordoba_ampliado[[#This Row],[Género Víctima]]="Masculino","🚹","🚺")</f>
        <v>🚺</v>
      </c>
      <c r="U64">
        <v>2</v>
      </c>
      <c r="V64" s="3" t="s">
        <v>25</v>
      </c>
      <c r="W64" s="3" t="s">
        <v>24</v>
      </c>
      <c r="X64" s="3" t="s">
        <v>24</v>
      </c>
      <c r="Y64" s="3" t="s">
        <v>24</v>
      </c>
      <c r="Z64" s="3" t="s">
        <v>23</v>
      </c>
      <c r="AA64" s="3" t="s">
        <v>25</v>
      </c>
      <c r="AB64" s="3" t="str">
        <f>IF(crimenes_cordoba_ampliado[[#This Row],[Hubo Arresto]]="Sí", "Resuelto", "Pendiente")</f>
        <v>Pendiente</v>
      </c>
      <c r="AC64" s="3" t="s">
        <v>24</v>
      </c>
      <c r="AD64" s="3"/>
    </row>
    <row r="65" spans="1:30" x14ac:dyDescent="0.25">
      <c r="A65">
        <v>923</v>
      </c>
      <c r="B65" s="1">
        <v>42248</v>
      </c>
      <c r="C65" s="33">
        <f t="shared" si="0"/>
        <v>42248</v>
      </c>
      <c r="D65" s="34">
        <f t="shared" si="1"/>
        <v>42248</v>
      </c>
      <c r="E65" s="35" t="s">
        <v>1453</v>
      </c>
      <c r="F65" s="2">
        <v>0.46597222222222223</v>
      </c>
      <c r="G65" s="3" t="s">
        <v>45</v>
      </c>
      <c r="H65" s="3" t="s">
        <v>40</v>
      </c>
      <c r="I65" s="25" t="str">
        <f>VLOOKUP(H65,Tabla5[#All],4,FALSE)</f>
        <v>-31,334500143441, -64,2460773260564</v>
      </c>
      <c r="J65" s="1">
        <v>34837</v>
      </c>
      <c r="K65" s="7">
        <f>INT((crimenes_cordoba_ampliado[[#This Row],[Fecha]]-crimenes_cordoba_ampliado[[#This Row],[Fecha Nac. Delincuente]])/365)</f>
        <v>20</v>
      </c>
      <c r="L65" s="7" t="str">
        <f>_xlfn.XLOOKUP(crimenes_cordoba_ampliado[[#This Row],[EDAD DELINCUENTE]],'Rango etareo'!$A$10:$A$25,'Rango etareo'!$B$10:$B$25,,-1)</f>
        <v>18 - 25</v>
      </c>
      <c r="M65" s="3" t="s">
        <v>21</v>
      </c>
      <c r="N65" s="3" t="str">
        <f>IF(crimenes_cordoba_ampliado[[#This Row],[Género Delincuente]]="Femenino","🚺","🚹")</f>
        <v>🚺</v>
      </c>
      <c r="O65">
        <v>3</v>
      </c>
      <c r="P65" s="1">
        <v>40926</v>
      </c>
      <c r="Q65" s="7">
        <f>INT((crimenes_cordoba_ampliado[[#This Row],[Fecha]]-crimenes_cordoba_ampliado[[#This Row],[Fecha Nac. Víctima]])/365)</f>
        <v>3</v>
      </c>
      <c r="R65" s="7" t="str">
        <f>_xlfn.XLOOKUP(crimenes_cordoba_ampliado[[#This Row],[EDAD VICTIMA]],'Rango etareo'!$A$2:$A$25,'Rango etareo'!$B$2:$B$25,,-1)</f>
        <v>&lt;=17</v>
      </c>
      <c r="S65" s="3" t="s">
        <v>22</v>
      </c>
      <c r="T65" s="3" t="str">
        <f>IF(crimenes_cordoba_ampliado[[#This Row],[Género Víctima]]="Masculino","🚹","🚺")</f>
        <v>🚹</v>
      </c>
      <c r="U65">
        <v>1</v>
      </c>
      <c r="V65" s="3" t="s">
        <v>25</v>
      </c>
      <c r="W65" s="3" t="s">
        <v>24</v>
      </c>
      <c r="X65" s="3" t="s">
        <v>24</v>
      </c>
      <c r="Y65" s="3" t="s">
        <v>69</v>
      </c>
      <c r="Z65" s="3" t="s">
        <v>23</v>
      </c>
      <c r="AA65" s="3" t="s">
        <v>25</v>
      </c>
      <c r="AB65" s="3" t="str">
        <f>IF(crimenes_cordoba_ampliado[[#This Row],[Hubo Arresto]]="Sí", "Resuelto", "Pendiente")</f>
        <v>Pendiente</v>
      </c>
      <c r="AC65" s="3" t="s">
        <v>24</v>
      </c>
      <c r="AD65" s="3"/>
    </row>
    <row r="66" spans="1:30" x14ac:dyDescent="0.25">
      <c r="A66">
        <v>59</v>
      </c>
      <c r="B66" s="1">
        <v>44337</v>
      </c>
      <c r="C66" s="33">
        <f t="shared" ref="C66:C129" si="2">B:B</f>
        <v>44337</v>
      </c>
      <c r="D66" s="34">
        <f t="shared" ref="D66:D129" si="3">B:B</f>
        <v>44337</v>
      </c>
      <c r="E66" s="35" t="s">
        <v>1455</v>
      </c>
      <c r="F66" s="2">
        <v>0.64861111111111114</v>
      </c>
      <c r="G66" s="3" t="s">
        <v>48</v>
      </c>
      <c r="H66" s="3" t="s">
        <v>49</v>
      </c>
      <c r="I66" s="25" t="str">
        <f>VLOOKUP(H66,Tabla5[#All],4,FALSE)</f>
        <v>-31,4506257494184, -64,1733054344705</v>
      </c>
      <c r="J66" s="1">
        <v>25806</v>
      </c>
      <c r="K66" s="7">
        <f>INT((crimenes_cordoba_ampliado[[#This Row],[Fecha]]-crimenes_cordoba_ampliado[[#This Row],[Fecha Nac. Delincuente]])/365)</f>
        <v>50</v>
      </c>
      <c r="L66" s="7" t="str">
        <f>_xlfn.XLOOKUP(crimenes_cordoba_ampliado[[#This Row],[EDAD DELINCUENTE]],'Rango etareo'!$A$10:$A$25,'Rango etareo'!$B$10:$B$25,,-1)</f>
        <v>46 - 55</v>
      </c>
      <c r="M66" s="3" t="s">
        <v>21</v>
      </c>
      <c r="N66" s="3" t="str">
        <f>IF(crimenes_cordoba_ampliado[[#This Row],[Género Delincuente]]="Femenino","🚺","🚹")</f>
        <v>🚺</v>
      </c>
      <c r="O66">
        <v>1</v>
      </c>
      <c r="P66" s="1">
        <v>28186</v>
      </c>
      <c r="Q66" s="7">
        <f>INT((crimenes_cordoba_ampliado[[#This Row],[Fecha]]-crimenes_cordoba_ampliado[[#This Row],[Fecha Nac. Víctima]])/365)</f>
        <v>44</v>
      </c>
      <c r="R66" s="7" t="str">
        <f>_xlfn.XLOOKUP(crimenes_cordoba_ampliado[[#This Row],[EDAD VICTIMA]],'Rango etareo'!$A$2:$A$25,'Rango etareo'!$B$2:$B$25,,-1)</f>
        <v>36 - 45</v>
      </c>
      <c r="S66" s="3" t="s">
        <v>21</v>
      </c>
      <c r="T66" s="3" t="str">
        <f>IF(crimenes_cordoba_ampliado[[#This Row],[Género Víctima]]="Masculino","🚹","🚺")</f>
        <v>🚺</v>
      </c>
      <c r="U66">
        <v>1</v>
      </c>
      <c r="V66" s="3" t="s">
        <v>23</v>
      </c>
      <c r="W66" s="3" t="s">
        <v>24</v>
      </c>
      <c r="X66" s="3" t="s">
        <v>24</v>
      </c>
      <c r="Y66" s="3" t="s">
        <v>24</v>
      </c>
      <c r="Z66" s="3" t="s">
        <v>25</v>
      </c>
      <c r="AA66" s="3" t="s">
        <v>25</v>
      </c>
      <c r="AB66" s="3" t="str">
        <f>IF(crimenes_cordoba_ampliado[[#This Row],[Hubo Arresto]]="Sí", "Resuelto", "Pendiente")</f>
        <v>Resuelto</v>
      </c>
      <c r="AC66" s="3" t="s">
        <v>104</v>
      </c>
      <c r="AD66" s="3"/>
    </row>
    <row r="67" spans="1:30" x14ac:dyDescent="0.25">
      <c r="A67">
        <v>60</v>
      </c>
      <c r="B67" s="1">
        <v>43954</v>
      </c>
      <c r="C67" s="33">
        <f t="shared" si="2"/>
        <v>43954</v>
      </c>
      <c r="D67" s="34">
        <f t="shared" si="3"/>
        <v>43954</v>
      </c>
      <c r="E67" s="35" t="s">
        <v>1449</v>
      </c>
      <c r="F67" s="2">
        <v>0.81458333333333333</v>
      </c>
      <c r="G67" s="3" t="s">
        <v>38</v>
      </c>
      <c r="H67" s="3" t="s">
        <v>49</v>
      </c>
      <c r="I67" s="25" t="str">
        <f>VLOOKUP(H67,Tabla5[#All],4,FALSE)</f>
        <v>-31,4506257494184, -64,1733054344705</v>
      </c>
      <c r="J67" s="1">
        <v>36972</v>
      </c>
      <c r="K67" s="7">
        <f>INT((crimenes_cordoba_ampliado[[#This Row],[Fecha]]-crimenes_cordoba_ampliado[[#This Row],[Fecha Nac. Delincuente]])/365)</f>
        <v>19</v>
      </c>
      <c r="L67" s="7" t="str">
        <f>_xlfn.XLOOKUP(crimenes_cordoba_ampliado[[#This Row],[EDAD DELINCUENTE]],'Rango etareo'!$A$10:$A$25,'Rango etareo'!$B$10:$B$25,,-1)</f>
        <v>18 - 25</v>
      </c>
      <c r="M67" s="3" t="s">
        <v>22</v>
      </c>
      <c r="N67" s="3" t="str">
        <f>IF(crimenes_cordoba_ampliado[[#This Row],[Género Delincuente]]="Femenino","🚺","🚹")</f>
        <v>🚹</v>
      </c>
      <c r="O67">
        <v>4</v>
      </c>
      <c r="P67" s="1">
        <v>16208</v>
      </c>
      <c r="Q67" s="7">
        <f>INT((crimenes_cordoba_ampliado[[#This Row],[Fecha]]-crimenes_cordoba_ampliado[[#This Row],[Fecha Nac. Víctima]])/365)</f>
        <v>76</v>
      </c>
      <c r="R67" s="7" t="str">
        <f>_xlfn.XLOOKUP(crimenes_cordoba_ampliado[[#This Row],[EDAD VICTIMA]],'Rango etareo'!$A$2:$A$25,'Rango etareo'!$B$2:$B$25,,-1)</f>
        <v>&gt;65</v>
      </c>
      <c r="S67" s="3" t="s">
        <v>22</v>
      </c>
      <c r="T67" s="3" t="str">
        <f>IF(crimenes_cordoba_ampliado[[#This Row],[Género Víctima]]="Masculino","🚹","🚺")</f>
        <v>🚹</v>
      </c>
      <c r="U67">
        <v>2</v>
      </c>
      <c r="V67" s="3" t="s">
        <v>23</v>
      </c>
      <c r="W67" s="3" t="s">
        <v>24</v>
      </c>
      <c r="X67" s="3" t="s">
        <v>24</v>
      </c>
      <c r="Y67" s="3" t="s">
        <v>24</v>
      </c>
      <c r="Z67" s="3" t="s">
        <v>25</v>
      </c>
      <c r="AA67" s="3" t="s">
        <v>25</v>
      </c>
      <c r="AB67" s="3" t="str">
        <f>IF(crimenes_cordoba_ampliado[[#This Row],[Hubo Arresto]]="Sí", "Resuelto", "Pendiente")</f>
        <v>Resuelto</v>
      </c>
      <c r="AC67" s="3" t="s">
        <v>105</v>
      </c>
      <c r="AD67" s="3"/>
    </row>
    <row r="68" spans="1:30" x14ac:dyDescent="0.25">
      <c r="A68">
        <v>63</v>
      </c>
      <c r="B68" s="1">
        <v>42088</v>
      </c>
      <c r="C68" s="33">
        <f t="shared" si="2"/>
        <v>42088</v>
      </c>
      <c r="D68" s="34">
        <f t="shared" si="3"/>
        <v>42088</v>
      </c>
      <c r="E68" s="35" t="s">
        <v>1450</v>
      </c>
      <c r="F68" s="2">
        <v>0.42291666666666666</v>
      </c>
      <c r="G68" s="3" t="s">
        <v>35</v>
      </c>
      <c r="H68" s="3" t="s">
        <v>28</v>
      </c>
      <c r="I68" s="25" t="str">
        <f>VLOOKUP(H68,Tabla5[#All],4,FALSE)</f>
        <v>-31,4129883640337, -64,1681120522587</v>
      </c>
      <c r="J68" s="1">
        <v>19450</v>
      </c>
      <c r="K68" s="7">
        <f>INT((crimenes_cordoba_ampliado[[#This Row],[Fecha]]-crimenes_cordoba_ampliado[[#This Row],[Fecha Nac. Delincuente]])/365)</f>
        <v>62</v>
      </c>
      <c r="L68" s="7" t="str">
        <f>_xlfn.XLOOKUP(crimenes_cordoba_ampliado[[#This Row],[EDAD DELINCUENTE]],'Rango etareo'!$A$10:$A$25,'Rango etareo'!$B$10:$B$25,,-1)</f>
        <v>56 - 65</v>
      </c>
      <c r="M68" s="3" t="s">
        <v>22</v>
      </c>
      <c r="N68" s="3" t="str">
        <f>IF(crimenes_cordoba_ampliado[[#This Row],[Género Delincuente]]="Femenino","🚺","🚹")</f>
        <v>🚹</v>
      </c>
      <c r="O68">
        <v>5</v>
      </c>
      <c r="P68" s="1">
        <v>32318</v>
      </c>
      <c r="Q68" s="7">
        <f>INT((crimenes_cordoba_ampliado[[#This Row],[Fecha]]-crimenes_cordoba_ampliado[[#This Row],[Fecha Nac. Víctima]])/365)</f>
        <v>26</v>
      </c>
      <c r="R68" s="7" t="str">
        <f>_xlfn.XLOOKUP(crimenes_cordoba_ampliado[[#This Row],[EDAD VICTIMA]],'Rango etareo'!$A$2:$A$25,'Rango etareo'!$B$2:$B$25,,-1)</f>
        <v>26 - 35</v>
      </c>
      <c r="S68" s="3" t="s">
        <v>21</v>
      </c>
      <c r="T68" s="3" t="str">
        <f>IF(crimenes_cordoba_ampliado[[#This Row],[Género Víctima]]="Masculino","🚹","🚺")</f>
        <v>🚺</v>
      </c>
      <c r="U68">
        <v>2</v>
      </c>
      <c r="V68" s="3" t="s">
        <v>23</v>
      </c>
      <c r="W68" s="3" t="s">
        <v>24</v>
      </c>
      <c r="X68" s="3" t="s">
        <v>24</v>
      </c>
      <c r="Y68" s="3" t="s">
        <v>46</v>
      </c>
      <c r="Z68" s="3" t="s">
        <v>23</v>
      </c>
      <c r="AA68" s="3" t="s">
        <v>23</v>
      </c>
      <c r="AB68" s="3" t="str">
        <f>IF(crimenes_cordoba_ampliado[[#This Row],[Hubo Arresto]]="Sí", "Resuelto", "Pendiente")</f>
        <v>Resuelto</v>
      </c>
      <c r="AC68" s="3" t="s">
        <v>104</v>
      </c>
      <c r="AD68" s="3"/>
    </row>
    <row r="69" spans="1:30" x14ac:dyDescent="0.25">
      <c r="A69">
        <v>65</v>
      </c>
      <c r="B69" s="1">
        <v>42979</v>
      </c>
      <c r="C69" s="33">
        <f t="shared" si="2"/>
        <v>42979</v>
      </c>
      <c r="D69" s="34">
        <f t="shared" si="3"/>
        <v>42979</v>
      </c>
      <c r="E69" s="35" t="s">
        <v>1455</v>
      </c>
      <c r="F69" s="2">
        <v>0.26319444444444445</v>
      </c>
      <c r="G69" s="3" t="s">
        <v>51</v>
      </c>
      <c r="H69" s="3" t="s">
        <v>28</v>
      </c>
      <c r="I69" s="25" t="str">
        <f>VLOOKUP(H69,Tabla5[#All],4,FALSE)</f>
        <v>-31,4129883640337, -64,1681120522587</v>
      </c>
      <c r="J69" s="1">
        <v>35256</v>
      </c>
      <c r="K69" s="7">
        <f>INT((crimenes_cordoba_ampliado[[#This Row],[Fecha]]-crimenes_cordoba_ampliado[[#This Row],[Fecha Nac. Delincuente]])/365)</f>
        <v>21</v>
      </c>
      <c r="L69" s="7" t="str">
        <f>_xlfn.XLOOKUP(crimenes_cordoba_ampliado[[#This Row],[EDAD DELINCUENTE]],'Rango etareo'!$A$10:$A$25,'Rango etareo'!$B$10:$B$25,,-1)</f>
        <v>18 - 25</v>
      </c>
      <c r="M69" s="3" t="s">
        <v>22</v>
      </c>
      <c r="N69" s="3" t="str">
        <f>IF(crimenes_cordoba_ampliado[[#This Row],[Género Delincuente]]="Femenino","🚺","🚹")</f>
        <v>🚹</v>
      </c>
      <c r="O69">
        <v>1</v>
      </c>
      <c r="P69" s="1">
        <v>15642</v>
      </c>
      <c r="Q69" s="7">
        <f>INT((crimenes_cordoba_ampliado[[#This Row],[Fecha]]-crimenes_cordoba_ampliado[[#This Row],[Fecha Nac. Víctima]])/365)</f>
        <v>74</v>
      </c>
      <c r="R69" s="7" t="str">
        <f>_xlfn.XLOOKUP(crimenes_cordoba_ampliado[[#This Row],[EDAD VICTIMA]],'Rango etareo'!$A$2:$A$25,'Rango etareo'!$B$2:$B$25,,-1)</f>
        <v>&gt;65</v>
      </c>
      <c r="S69" s="3" t="s">
        <v>21</v>
      </c>
      <c r="T69" s="3" t="str">
        <f>IF(crimenes_cordoba_ampliado[[#This Row],[Género Víctima]]="Masculino","🚹","🚺")</f>
        <v>🚺</v>
      </c>
      <c r="U69">
        <v>1</v>
      </c>
      <c r="V69" s="3" t="s">
        <v>23</v>
      </c>
      <c r="W69" s="3" t="s">
        <v>24</v>
      </c>
      <c r="X69" s="3" t="s">
        <v>24</v>
      </c>
      <c r="Y69" s="3" t="s">
        <v>106</v>
      </c>
      <c r="Z69" s="3" t="s">
        <v>25</v>
      </c>
      <c r="AA69" s="3" t="s">
        <v>23</v>
      </c>
      <c r="AB69" s="3" t="str">
        <f>IF(crimenes_cordoba_ampliado[[#This Row],[Hubo Arresto]]="Sí", "Resuelto", "Pendiente")</f>
        <v>Resuelto</v>
      </c>
      <c r="AC69" s="3" t="s">
        <v>107</v>
      </c>
      <c r="AD69" s="3"/>
    </row>
    <row r="70" spans="1:30" x14ac:dyDescent="0.25">
      <c r="A70">
        <v>67</v>
      </c>
      <c r="B70" s="1">
        <v>43725</v>
      </c>
      <c r="C70" s="33">
        <f t="shared" si="2"/>
        <v>43725</v>
      </c>
      <c r="D70" s="34">
        <f t="shared" si="3"/>
        <v>43725</v>
      </c>
      <c r="E70" s="35" t="s">
        <v>1453</v>
      </c>
      <c r="F70" s="2">
        <v>0.50069444444444444</v>
      </c>
      <c r="G70" s="3" t="s">
        <v>54</v>
      </c>
      <c r="H70" s="3" t="s">
        <v>32</v>
      </c>
      <c r="I70" s="25" t="str">
        <f>VLOOKUP(H70,Tabla5[#All],4,FALSE)</f>
        <v>-31,4148488101991, -64,1793406489438</v>
      </c>
      <c r="J70" s="1">
        <v>39046</v>
      </c>
      <c r="K70" s="7">
        <f>INT((crimenes_cordoba_ampliado[[#This Row],[Fecha]]-crimenes_cordoba_ampliado[[#This Row],[Fecha Nac. Delincuente]])/365)</f>
        <v>12</v>
      </c>
      <c r="L70" s="7" t="str">
        <f>_xlfn.XLOOKUP(crimenes_cordoba_ampliado[[#This Row],[EDAD DELINCUENTE]],'Rango etareo'!$A$10:$A$25,'Rango etareo'!$B$10:$B$25,,-1)</f>
        <v>&lt;=17</v>
      </c>
      <c r="M70" s="3" t="s">
        <v>21</v>
      </c>
      <c r="N70" s="3" t="str">
        <f>IF(crimenes_cordoba_ampliado[[#This Row],[Género Delincuente]]="Femenino","🚺","🚹")</f>
        <v>🚺</v>
      </c>
      <c r="O70">
        <v>3</v>
      </c>
      <c r="P70" s="1">
        <v>36422</v>
      </c>
      <c r="Q70" s="7">
        <f>INT((crimenes_cordoba_ampliado[[#This Row],[Fecha]]-crimenes_cordoba_ampliado[[#This Row],[Fecha Nac. Víctima]])/365)</f>
        <v>20</v>
      </c>
      <c r="R70" s="7" t="str">
        <f>_xlfn.XLOOKUP(crimenes_cordoba_ampliado[[#This Row],[EDAD VICTIMA]],'Rango etareo'!$A$2:$A$25,'Rango etareo'!$B$2:$B$25,,-1)</f>
        <v>18 - 25</v>
      </c>
      <c r="S70" s="3" t="s">
        <v>21</v>
      </c>
      <c r="T70" s="3" t="str">
        <f>IF(crimenes_cordoba_ampliado[[#This Row],[Género Víctima]]="Masculino","🚹","🚺")</f>
        <v>🚺</v>
      </c>
      <c r="U70">
        <v>2</v>
      </c>
      <c r="V70" s="3" t="s">
        <v>23</v>
      </c>
      <c r="W70" s="3" t="s">
        <v>24</v>
      </c>
      <c r="X70" s="3" t="s">
        <v>24</v>
      </c>
      <c r="Y70" s="3" t="s">
        <v>46</v>
      </c>
      <c r="Z70" s="3" t="s">
        <v>25</v>
      </c>
      <c r="AA70" s="3" t="s">
        <v>25</v>
      </c>
      <c r="AB70" s="3" t="str">
        <f>IF(crimenes_cordoba_ampliado[[#This Row],[Hubo Arresto]]="Sí", "Resuelto", "Pendiente")</f>
        <v>Resuelto</v>
      </c>
      <c r="AC70" s="3" t="s">
        <v>108</v>
      </c>
      <c r="AD70" s="3"/>
    </row>
    <row r="71" spans="1:30" x14ac:dyDescent="0.25">
      <c r="A71">
        <v>70</v>
      </c>
      <c r="B71" s="1">
        <v>42952</v>
      </c>
      <c r="C71" s="33">
        <f t="shared" si="2"/>
        <v>42952</v>
      </c>
      <c r="D71" s="34">
        <f t="shared" si="3"/>
        <v>42952</v>
      </c>
      <c r="E71" s="35" t="s">
        <v>1451</v>
      </c>
      <c r="F71" s="2">
        <v>0.23055555555555557</v>
      </c>
      <c r="G71" s="3" t="s">
        <v>35</v>
      </c>
      <c r="H71" s="3" t="s">
        <v>28</v>
      </c>
      <c r="I71" s="25" t="str">
        <f>VLOOKUP(H71,Tabla5[#All],4,FALSE)</f>
        <v>-31,4129883640337, -64,1681120522587</v>
      </c>
      <c r="J71" s="1">
        <v>34495</v>
      </c>
      <c r="K71" s="7">
        <f>INT((crimenes_cordoba_ampliado[[#This Row],[Fecha]]-crimenes_cordoba_ampliado[[#This Row],[Fecha Nac. Delincuente]])/365)</f>
        <v>23</v>
      </c>
      <c r="L71" s="7" t="str">
        <f>_xlfn.XLOOKUP(crimenes_cordoba_ampliado[[#This Row],[EDAD DELINCUENTE]],'Rango etareo'!$A$10:$A$25,'Rango etareo'!$B$10:$B$25,,-1)</f>
        <v>18 - 25</v>
      </c>
      <c r="M71" s="3" t="s">
        <v>22</v>
      </c>
      <c r="N71" s="3" t="str">
        <f>IF(crimenes_cordoba_ampliado[[#This Row],[Género Delincuente]]="Femenino","🚺","🚹")</f>
        <v>🚹</v>
      </c>
      <c r="O71">
        <v>1</v>
      </c>
      <c r="P71" s="1">
        <v>41869</v>
      </c>
      <c r="Q71" s="7">
        <f>INT((crimenes_cordoba_ampliado[[#This Row],[Fecha]]-crimenes_cordoba_ampliado[[#This Row],[Fecha Nac. Víctima]])/365)</f>
        <v>2</v>
      </c>
      <c r="R71" s="7" t="str">
        <f>_xlfn.XLOOKUP(crimenes_cordoba_ampliado[[#This Row],[EDAD VICTIMA]],'Rango etareo'!$A$2:$A$25,'Rango etareo'!$B$2:$B$25,,-1)</f>
        <v>&lt;=17</v>
      </c>
      <c r="S71" s="3" t="s">
        <v>22</v>
      </c>
      <c r="T71" s="3" t="str">
        <f>IF(crimenes_cordoba_ampliado[[#This Row],[Género Víctima]]="Masculino","🚹","🚺")</f>
        <v>🚹</v>
      </c>
      <c r="U71">
        <v>2</v>
      </c>
      <c r="V71" s="3" t="s">
        <v>23</v>
      </c>
      <c r="W71" s="3" t="s">
        <v>24</v>
      </c>
      <c r="X71" s="3" t="s">
        <v>24</v>
      </c>
      <c r="Y71" s="3" t="s">
        <v>86</v>
      </c>
      <c r="Z71" s="3" t="s">
        <v>23</v>
      </c>
      <c r="AA71" s="3" t="s">
        <v>25</v>
      </c>
      <c r="AB71" s="3" t="str">
        <f>IF(crimenes_cordoba_ampliado[[#This Row],[Hubo Arresto]]="Sí", "Resuelto", "Pendiente")</f>
        <v>Resuelto</v>
      </c>
      <c r="AC71" s="3" t="s">
        <v>47</v>
      </c>
      <c r="AD71" s="3"/>
    </row>
    <row r="72" spans="1:30" x14ac:dyDescent="0.25">
      <c r="A72">
        <v>839</v>
      </c>
      <c r="B72" s="1">
        <v>42262</v>
      </c>
      <c r="C72" s="33">
        <f t="shared" si="2"/>
        <v>42262</v>
      </c>
      <c r="D72" s="34">
        <f t="shared" si="3"/>
        <v>42262</v>
      </c>
      <c r="E72" s="35" t="s">
        <v>1453</v>
      </c>
      <c r="F72" s="2">
        <v>0.43819444444444444</v>
      </c>
      <c r="G72" s="3" t="s">
        <v>31</v>
      </c>
      <c r="H72" s="3" t="s">
        <v>65</v>
      </c>
      <c r="I72" s="25" t="str">
        <f>VLOOKUP(H72,Tabla5[#All],4,FALSE)</f>
        <v>-31,4285567311661, -64,1853198281007</v>
      </c>
      <c r="J72" s="1">
        <v>37272</v>
      </c>
      <c r="K72" s="7">
        <f>INT((crimenes_cordoba_ampliado[[#This Row],[Fecha]]-crimenes_cordoba_ampliado[[#This Row],[Fecha Nac. Delincuente]])/365)</f>
        <v>13</v>
      </c>
      <c r="L72" s="7" t="str">
        <f>_xlfn.XLOOKUP(crimenes_cordoba_ampliado[[#This Row],[EDAD DELINCUENTE]],'Rango etareo'!$A$10:$A$25,'Rango etareo'!$B$10:$B$25,,-1)</f>
        <v>&lt;=17</v>
      </c>
      <c r="M72" s="3" t="s">
        <v>22</v>
      </c>
      <c r="N72" s="3" t="str">
        <f>IF(crimenes_cordoba_ampliado[[#This Row],[Género Delincuente]]="Femenino","🚺","🚹")</f>
        <v>🚹</v>
      </c>
      <c r="O72">
        <v>2</v>
      </c>
      <c r="P72" s="1">
        <v>25088</v>
      </c>
      <c r="Q72" s="7">
        <f>INT((crimenes_cordoba_ampliado[[#This Row],[Fecha]]-crimenes_cordoba_ampliado[[#This Row],[Fecha Nac. Víctima]])/365)</f>
        <v>47</v>
      </c>
      <c r="R72" s="7" t="str">
        <f>_xlfn.XLOOKUP(crimenes_cordoba_ampliado[[#This Row],[EDAD VICTIMA]],'Rango etareo'!$A$2:$A$25,'Rango etareo'!$B$2:$B$25,,-1)</f>
        <v>46 - 55</v>
      </c>
      <c r="S72" s="3" t="s">
        <v>22</v>
      </c>
      <c r="T72" s="3" t="str">
        <f>IF(crimenes_cordoba_ampliado[[#This Row],[Género Víctima]]="Masculino","🚹","🚺")</f>
        <v>🚹</v>
      </c>
      <c r="U72">
        <v>2</v>
      </c>
      <c r="V72" s="3" t="s">
        <v>25</v>
      </c>
      <c r="W72" s="3" t="s">
        <v>24</v>
      </c>
      <c r="X72" s="3" t="s">
        <v>24</v>
      </c>
      <c r="Y72" s="3" t="s">
        <v>53</v>
      </c>
      <c r="Z72" s="3" t="s">
        <v>23</v>
      </c>
      <c r="AA72" s="3" t="s">
        <v>23</v>
      </c>
      <c r="AB72" s="3" t="str">
        <f>IF(crimenes_cordoba_ampliado[[#This Row],[Hubo Arresto]]="Sí", "Resuelto", "Pendiente")</f>
        <v>Pendiente</v>
      </c>
      <c r="AC72" s="3" t="s">
        <v>24</v>
      </c>
      <c r="AD72" s="3"/>
    </row>
    <row r="73" spans="1:30" x14ac:dyDescent="0.25">
      <c r="A73">
        <v>509</v>
      </c>
      <c r="B73" s="1">
        <v>42269</v>
      </c>
      <c r="C73" s="33">
        <f t="shared" si="2"/>
        <v>42269</v>
      </c>
      <c r="D73" s="34">
        <f t="shared" si="3"/>
        <v>42269</v>
      </c>
      <c r="E73" s="35" t="s">
        <v>1453</v>
      </c>
      <c r="F73" s="2">
        <v>0.96736111111111112</v>
      </c>
      <c r="G73" s="3" t="s">
        <v>81</v>
      </c>
      <c r="H73" s="3" t="s">
        <v>52</v>
      </c>
      <c r="I73" s="25" t="str">
        <f>VLOOKUP(H73,Tabla5[#All],4,FALSE)</f>
        <v>-31,3477902896523, -64,2644406169297</v>
      </c>
      <c r="J73" s="1">
        <v>22941</v>
      </c>
      <c r="K73" s="7">
        <f>INT((crimenes_cordoba_ampliado[[#This Row],[Fecha]]-crimenes_cordoba_ampliado[[#This Row],[Fecha Nac. Delincuente]])/365)</f>
        <v>52</v>
      </c>
      <c r="L73" s="7" t="str">
        <f>_xlfn.XLOOKUP(crimenes_cordoba_ampliado[[#This Row],[EDAD DELINCUENTE]],'Rango etareo'!$A$10:$A$25,'Rango etareo'!$B$10:$B$25,,-1)</f>
        <v>46 - 55</v>
      </c>
      <c r="M73" s="3" t="s">
        <v>21</v>
      </c>
      <c r="N73" s="3" t="str">
        <f>IF(crimenes_cordoba_ampliado[[#This Row],[Género Delincuente]]="Femenino","🚺","🚹")</f>
        <v>🚺</v>
      </c>
      <c r="O73">
        <v>3</v>
      </c>
      <c r="P73" s="1">
        <v>19699</v>
      </c>
      <c r="Q73" s="7">
        <f>INT((crimenes_cordoba_ampliado[[#This Row],[Fecha]]-crimenes_cordoba_ampliado[[#This Row],[Fecha Nac. Víctima]])/365)</f>
        <v>61</v>
      </c>
      <c r="R73" s="7" t="str">
        <f>_xlfn.XLOOKUP(crimenes_cordoba_ampliado[[#This Row],[EDAD VICTIMA]],'Rango etareo'!$A$2:$A$25,'Rango etareo'!$B$2:$B$25,,-1)</f>
        <v>56 - 65</v>
      </c>
      <c r="S73" s="3" t="s">
        <v>21</v>
      </c>
      <c r="T73" s="3" t="str">
        <f>IF(crimenes_cordoba_ampliado[[#This Row],[Género Víctima]]="Masculino","🚹","🚺")</f>
        <v>🚺</v>
      </c>
      <c r="U73">
        <v>1</v>
      </c>
      <c r="V73" s="3" t="s">
        <v>25</v>
      </c>
      <c r="W73" s="3" t="s">
        <v>63</v>
      </c>
      <c r="X73" s="3" t="s">
        <v>29</v>
      </c>
      <c r="Y73" s="3" t="s">
        <v>24</v>
      </c>
      <c r="Z73" s="3" t="s">
        <v>23</v>
      </c>
      <c r="AA73" s="3" t="s">
        <v>23</v>
      </c>
      <c r="AB73" s="3" t="str">
        <f>IF(crimenes_cordoba_ampliado[[#This Row],[Hubo Arresto]]="Sí", "Resuelto", "Pendiente")</f>
        <v>Pendiente</v>
      </c>
      <c r="AC73" s="3" t="s">
        <v>24</v>
      </c>
      <c r="AD73" s="3"/>
    </row>
    <row r="74" spans="1:30" x14ac:dyDescent="0.25">
      <c r="A74">
        <v>832</v>
      </c>
      <c r="B74" s="1">
        <v>42272</v>
      </c>
      <c r="C74" s="33">
        <f t="shared" si="2"/>
        <v>42272</v>
      </c>
      <c r="D74" s="34">
        <f t="shared" si="3"/>
        <v>42272</v>
      </c>
      <c r="E74" s="35" t="s">
        <v>1455</v>
      </c>
      <c r="F74" s="2">
        <v>0.75</v>
      </c>
      <c r="G74" s="3" t="s">
        <v>54</v>
      </c>
      <c r="H74" s="3" t="s">
        <v>60</v>
      </c>
      <c r="I74" s="25" t="str">
        <f>VLOOKUP(H74,Tabla5[#All],4,FALSE)</f>
        <v>-31,4076397196409, -64,2020170430678</v>
      </c>
      <c r="J74" s="1">
        <v>31978</v>
      </c>
      <c r="K74" s="7">
        <f>INT((crimenes_cordoba_ampliado[[#This Row],[Fecha]]-crimenes_cordoba_ampliado[[#This Row],[Fecha Nac. Delincuente]])/365)</f>
        <v>28</v>
      </c>
      <c r="L74" s="7" t="str">
        <f>_xlfn.XLOOKUP(crimenes_cordoba_ampliado[[#This Row],[EDAD DELINCUENTE]],'Rango etareo'!$A$10:$A$25,'Rango etareo'!$B$10:$B$25,,-1)</f>
        <v>26 - 35</v>
      </c>
      <c r="M74" s="3" t="s">
        <v>21</v>
      </c>
      <c r="N74" s="3" t="str">
        <f>IF(crimenes_cordoba_ampliado[[#This Row],[Género Delincuente]]="Femenino","🚺","🚹")</f>
        <v>🚺</v>
      </c>
      <c r="O74">
        <v>3</v>
      </c>
      <c r="P74" s="1">
        <v>14865</v>
      </c>
      <c r="Q74" s="7">
        <f>INT((crimenes_cordoba_ampliado[[#This Row],[Fecha]]-crimenes_cordoba_ampliado[[#This Row],[Fecha Nac. Víctima]])/365)</f>
        <v>75</v>
      </c>
      <c r="R74" s="7" t="str">
        <f>_xlfn.XLOOKUP(crimenes_cordoba_ampliado[[#This Row],[EDAD VICTIMA]],'Rango etareo'!$A$2:$A$25,'Rango etareo'!$B$2:$B$25,,-1)</f>
        <v>&gt;65</v>
      </c>
      <c r="S74" s="3" t="s">
        <v>21</v>
      </c>
      <c r="T74" s="3" t="str">
        <f>IF(crimenes_cordoba_ampliado[[#This Row],[Género Víctima]]="Masculino","🚹","🚺")</f>
        <v>🚺</v>
      </c>
      <c r="U74">
        <v>2</v>
      </c>
      <c r="V74" s="3" t="s">
        <v>25</v>
      </c>
      <c r="W74" s="3" t="s">
        <v>36</v>
      </c>
      <c r="X74" s="3" t="s">
        <v>41</v>
      </c>
      <c r="Y74" s="3" t="s">
        <v>24</v>
      </c>
      <c r="Z74" s="3" t="s">
        <v>23</v>
      </c>
      <c r="AA74" s="3" t="s">
        <v>23</v>
      </c>
      <c r="AB74" s="3" t="str">
        <f>IF(crimenes_cordoba_ampliado[[#This Row],[Hubo Arresto]]="Sí", "Resuelto", "Pendiente")</f>
        <v>Pendiente</v>
      </c>
      <c r="AC74" s="3" t="s">
        <v>24</v>
      </c>
      <c r="AD74" s="3"/>
    </row>
    <row r="75" spans="1:30" x14ac:dyDescent="0.25">
      <c r="A75">
        <v>679</v>
      </c>
      <c r="B75" s="1">
        <v>42273</v>
      </c>
      <c r="C75" s="33">
        <f t="shared" si="2"/>
        <v>42273</v>
      </c>
      <c r="D75" s="34">
        <f t="shared" si="3"/>
        <v>42273</v>
      </c>
      <c r="E75" s="35" t="s">
        <v>1451</v>
      </c>
      <c r="F75" s="2">
        <v>0.85138888888888886</v>
      </c>
      <c r="G75" s="3" t="s">
        <v>38</v>
      </c>
      <c r="H75" s="3" t="s">
        <v>32</v>
      </c>
      <c r="I75" s="25" t="str">
        <f>VLOOKUP(H75,Tabla5[#All],4,FALSE)</f>
        <v>-31,4148488101991, -64,1793406489438</v>
      </c>
      <c r="J75" s="1">
        <v>34152</v>
      </c>
      <c r="K75" s="7">
        <f>INT((crimenes_cordoba_ampliado[[#This Row],[Fecha]]-crimenes_cordoba_ampliado[[#This Row],[Fecha Nac. Delincuente]])/365)</f>
        <v>22</v>
      </c>
      <c r="L75" s="7" t="str">
        <f>_xlfn.XLOOKUP(crimenes_cordoba_ampliado[[#This Row],[EDAD DELINCUENTE]],'Rango etareo'!$A$10:$A$25,'Rango etareo'!$B$10:$B$25,,-1)</f>
        <v>18 - 25</v>
      </c>
      <c r="M75" s="3" t="s">
        <v>21</v>
      </c>
      <c r="N75" s="3" t="str">
        <f>IF(crimenes_cordoba_ampliado[[#This Row],[Género Delincuente]]="Femenino","🚺","🚹")</f>
        <v>🚺</v>
      </c>
      <c r="O75">
        <v>5</v>
      </c>
      <c r="P75" s="1">
        <v>28973</v>
      </c>
      <c r="Q75" s="7">
        <f>INT((crimenes_cordoba_ampliado[[#This Row],[Fecha]]-crimenes_cordoba_ampliado[[#This Row],[Fecha Nac. Víctima]])/365)</f>
        <v>36</v>
      </c>
      <c r="R75" s="7" t="str">
        <f>_xlfn.XLOOKUP(crimenes_cordoba_ampliado[[#This Row],[EDAD VICTIMA]],'Rango etareo'!$A$2:$A$25,'Rango etareo'!$B$2:$B$25,,-1)</f>
        <v>36 - 45</v>
      </c>
      <c r="S75" s="3" t="s">
        <v>22</v>
      </c>
      <c r="T75" s="3" t="str">
        <f>IF(crimenes_cordoba_ampliado[[#This Row],[Género Víctima]]="Masculino","🚹","🚺")</f>
        <v>🚹</v>
      </c>
      <c r="U75">
        <v>3</v>
      </c>
      <c r="V75" s="3" t="s">
        <v>25</v>
      </c>
      <c r="W75" s="3" t="s">
        <v>24</v>
      </c>
      <c r="X75" s="3" t="s">
        <v>24</v>
      </c>
      <c r="Y75" s="3" t="s">
        <v>98</v>
      </c>
      <c r="Z75" s="3" t="s">
        <v>25</v>
      </c>
      <c r="AA75" s="3" t="s">
        <v>25</v>
      </c>
      <c r="AB75" s="3" t="str">
        <f>IF(crimenes_cordoba_ampliado[[#This Row],[Hubo Arresto]]="Sí", "Resuelto", "Pendiente")</f>
        <v>Pendiente</v>
      </c>
      <c r="AC75" s="3" t="s">
        <v>24</v>
      </c>
      <c r="AD75" s="3"/>
    </row>
    <row r="76" spans="1:30" x14ac:dyDescent="0.25">
      <c r="A76">
        <v>71</v>
      </c>
      <c r="B76" s="1">
        <v>42160</v>
      </c>
      <c r="C76" s="33">
        <f t="shared" si="2"/>
        <v>42160</v>
      </c>
      <c r="D76" s="34">
        <f t="shared" si="3"/>
        <v>42160</v>
      </c>
      <c r="E76" s="35" t="s">
        <v>1455</v>
      </c>
      <c r="F76" s="2">
        <v>0.96319444444444446</v>
      </c>
      <c r="G76" s="3" t="s">
        <v>45</v>
      </c>
      <c r="H76" s="3" t="s">
        <v>70</v>
      </c>
      <c r="I76" s="25" t="str">
        <f>VLOOKUP(H76,Tabla5[#All],4,FALSE)</f>
        <v>-31,3759272890294, -64,2284587792478</v>
      </c>
      <c r="J76" s="1">
        <v>20711</v>
      </c>
      <c r="K76" s="7">
        <f>INT((crimenes_cordoba_ampliado[[#This Row],[Fecha]]-crimenes_cordoba_ampliado[[#This Row],[Fecha Nac. Delincuente]])/365)</f>
        <v>58</v>
      </c>
      <c r="L76" s="7" t="str">
        <f>_xlfn.XLOOKUP(crimenes_cordoba_ampliado[[#This Row],[EDAD DELINCUENTE]],'Rango etareo'!$A$10:$A$25,'Rango etareo'!$B$10:$B$25,,-1)</f>
        <v>56 - 65</v>
      </c>
      <c r="M76" s="3" t="s">
        <v>22</v>
      </c>
      <c r="N76" s="3" t="str">
        <f>IF(crimenes_cordoba_ampliado[[#This Row],[Género Delincuente]]="Femenino","🚺","🚹")</f>
        <v>🚹</v>
      </c>
      <c r="O76">
        <v>2</v>
      </c>
      <c r="P76" s="1">
        <v>19444</v>
      </c>
      <c r="Q76" s="7">
        <f>INT((crimenes_cordoba_ampliado[[#This Row],[Fecha]]-crimenes_cordoba_ampliado[[#This Row],[Fecha Nac. Víctima]])/365)</f>
        <v>62</v>
      </c>
      <c r="R76" s="7" t="str">
        <f>_xlfn.XLOOKUP(crimenes_cordoba_ampliado[[#This Row],[EDAD VICTIMA]],'Rango etareo'!$A$2:$A$25,'Rango etareo'!$B$2:$B$25,,-1)</f>
        <v>56 - 65</v>
      </c>
      <c r="S76" s="3" t="s">
        <v>22</v>
      </c>
      <c r="T76" s="3" t="str">
        <f>IF(crimenes_cordoba_ampliado[[#This Row],[Género Víctima]]="Masculino","🚹","🚺")</f>
        <v>🚹</v>
      </c>
      <c r="U76">
        <v>2</v>
      </c>
      <c r="V76" s="3" t="s">
        <v>23</v>
      </c>
      <c r="W76" s="3" t="s">
        <v>36</v>
      </c>
      <c r="X76" s="3" t="s">
        <v>24</v>
      </c>
      <c r="Y76" s="3" t="s">
        <v>99</v>
      </c>
      <c r="Z76" s="3" t="s">
        <v>25</v>
      </c>
      <c r="AA76" s="3" t="s">
        <v>23</v>
      </c>
      <c r="AB76" s="3" t="str">
        <f>IF(crimenes_cordoba_ampliado[[#This Row],[Hubo Arresto]]="Sí", "Resuelto", "Pendiente")</f>
        <v>Resuelto</v>
      </c>
      <c r="AC76" s="3" t="s">
        <v>109</v>
      </c>
      <c r="AD76" s="3"/>
    </row>
    <row r="77" spans="1:30" x14ac:dyDescent="0.25">
      <c r="A77">
        <v>73</v>
      </c>
      <c r="B77" s="1">
        <v>42256</v>
      </c>
      <c r="C77" s="33">
        <f t="shared" si="2"/>
        <v>42256</v>
      </c>
      <c r="D77" s="34">
        <f t="shared" si="3"/>
        <v>42256</v>
      </c>
      <c r="E77" s="35" t="s">
        <v>1450</v>
      </c>
      <c r="F77" s="2">
        <v>0.49583333333333335</v>
      </c>
      <c r="G77" s="3" t="s">
        <v>54</v>
      </c>
      <c r="H77" s="3" t="s">
        <v>70</v>
      </c>
      <c r="I77" s="25" t="str">
        <f>VLOOKUP(H77,Tabla5[#All],4,FALSE)</f>
        <v>-31,3759272890294, -64,2284587792478</v>
      </c>
      <c r="J77" s="1">
        <v>28722</v>
      </c>
      <c r="K77" s="7">
        <f>INT((crimenes_cordoba_ampliado[[#This Row],[Fecha]]-crimenes_cordoba_ampliado[[#This Row],[Fecha Nac. Delincuente]])/365)</f>
        <v>37</v>
      </c>
      <c r="L77" s="7" t="str">
        <f>_xlfn.XLOOKUP(crimenes_cordoba_ampliado[[#This Row],[EDAD DELINCUENTE]],'Rango etareo'!$A$10:$A$25,'Rango etareo'!$B$10:$B$25,,-1)</f>
        <v>36 - 45</v>
      </c>
      <c r="M77" s="3" t="s">
        <v>21</v>
      </c>
      <c r="N77" s="3" t="str">
        <f>IF(crimenes_cordoba_ampliado[[#This Row],[Género Delincuente]]="Femenino","🚺","🚹")</f>
        <v>🚺</v>
      </c>
      <c r="O77">
        <v>1</v>
      </c>
      <c r="P77" s="1">
        <v>35857</v>
      </c>
      <c r="Q77" s="7">
        <f>INT((crimenes_cordoba_ampliado[[#This Row],[Fecha]]-crimenes_cordoba_ampliado[[#This Row],[Fecha Nac. Víctima]])/365)</f>
        <v>17</v>
      </c>
      <c r="R77" s="7" t="str">
        <f>_xlfn.XLOOKUP(crimenes_cordoba_ampliado[[#This Row],[EDAD VICTIMA]],'Rango etareo'!$A$2:$A$25,'Rango etareo'!$B$2:$B$25,,-1)</f>
        <v>&lt;=17</v>
      </c>
      <c r="S77" s="3" t="s">
        <v>21</v>
      </c>
      <c r="T77" s="3" t="str">
        <f>IF(crimenes_cordoba_ampliado[[#This Row],[Género Víctima]]="Masculino","🚹","🚺")</f>
        <v>🚺</v>
      </c>
      <c r="U77">
        <v>3</v>
      </c>
      <c r="V77" s="3" t="s">
        <v>23</v>
      </c>
      <c r="W77" s="3" t="s">
        <v>24</v>
      </c>
      <c r="X77" s="3" t="s">
        <v>24</v>
      </c>
      <c r="Y77" s="3" t="s">
        <v>106</v>
      </c>
      <c r="Z77" s="3" t="s">
        <v>25</v>
      </c>
      <c r="AA77" s="3" t="s">
        <v>23</v>
      </c>
      <c r="AB77" s="3" t="str">
        <f>IF(crimenes_cordoba_ampliado[[#This Row],[Hubo Arresto]]="Sí", "Resuelto", "Pendiente")</f>
        <v>Resuelto</v>
      </c>
      <c r="AC77" s="3" t="s">
        <v>110</v>
      </c>
      <c r="AD77" s="3"/>
    </row>
    <row r="78" spans="1:30" x14ac:dyDescent="0.25">
      <c r="A78">
        <v>74</v>
      </c>
      <c r="B78" s="1">
        <v>45414</v>
      </c>
      <c r="C78" s="33">
        <f t="shared" si="2"/>
        <v>45414</v>
      </c>
      <c r="D78" s="34">
        <f t="shared" si="3"/>
        <v>45414</v>
      </c>
      <c r="E78" s="35" t="s">
        <v>1454</v>
      </c>
      <c r="F78" s="2">
        <v>0.45555555555555555</v>
      </c>
      <c r="G78" s="3" t="s">
        <v>38</v>
      </c>
      <c r="H78" s="3" t="s">
        <v>40</v>
      </c>
      <c r="I78" s="25" t="str">
        <f>VLOOKUP(H78,Tabla5[#All],4,FALSE)</f>
        <v>-31,334500143441, -64,2460773260564</v>
      </c>
      <c r="J78" s="1">
        <v>23536</v>
      </c>
      <c r="K78" s="7">
        <f>INT((crimenes_cordoba_ampliado[[#This Row],[Fecha]]-crimenes_cordoba_ampliado[[#This Row],[Fecha Nac. Delincuente]])/365)</f>
        <v>59</v>
      </c>
      <c r="L78" s="7" t="str">
        <f>_xlfn.XLOOKUP(crimenes_cordoba_ampliado[[#This Row],[EDAD DELINCUENTE]],'Rango etareo'!$A$10:$A$25,'Rango etareo'!$B$10:$B$25,,-1)</f>
        <v>56 - 65</v>
      </c>
      <c r="M78" s="3" t="s">
        <v>22</v>
      </c>
      <c r="N78" s="3" t="str">
        <f>IF(crimenes_cordoba_ampliado[[#This Row],[Género Delincuente]]="Femenino","🚺","🚹")</f>
        <v>🚹</v>
      </c>
      <c r="O78">
        <v>3</v>
      </c>
      <c r="P78" s="1">
        <v>38117</v>
      </c>
      <c r="Q78" s="7">
        <f>INT((crimenes_cordoba_ampliado[[#This Row],[Fecha]]-crimenes_cordoba_ampliado[[#This Row],[Fecha Nac. Víctima]])/365)</f>
        <v>19</v>
      </c>
      <c r="R78" s="7" t="str">
        <f>_xlfn.XLOOKUP(crimenes_cordoba_ampliado[[#This Row],[EDAD VICTIMA]],'Rango etareo'!$A$2:$A$25,'Rango etareo'!$B$2:$B$25,,-1)</f>
        <v>18 - 25</v>
      </c>
      <c r="S78" s="3" t="s">
        <v>22</v>
      </c>
      <c r="T78" s="3" t="str">
        <f>IF(crimenes_cordoba_ampliado[[#This Row],[Género Víctima]]="Masculino","🚹","🚺")</f>
        <v>🚹</v>
      </c>
      <c r="U78">
        <v>3</v>
      </c>
      <c r="V78" s="3" t="s">
        <v>23</v>
      </c>
      <c r="W78" s="3" t="s">
        <v>24</v>
      </c>
      <c r="X78" s="3" t="s">
        <v>24</v>
      </c>
      <c r="Y78" s="3" t="s">
        <v>69</v>
      </c>
      <c r="Z78" s="3" t="s">
        <v>25</v>
      </c>
      <c r="AA78" s="3" t="s">
        <v>23</v>
      </c>
      <c r="AB78" s="3" t="str">
        <f>IF(crimenes_cordoba_ampliado[[#This Row],[Hubo Arresto]]="Sí", "Resuelto", "Pendiente")</f>
        <v>Resuelto</v>
      </c>
      <c r="AC78" s="3" t="s">
        <v>37</v>
      </c>
      <c r="AD78" s="3"/>
    </row>
    <row r="79" spans="1:30" x14ac:dyDescent="0.25">
      <c r="A79">
        <v>252</v>
      </c>
      <c r="B79" s="1">
        <v>42297</v>
      </c>
      <c r="C79" s="33">
        <f t="shared" si="2"/>
        <v>42297</v>
      </c>
      <c r="D79" s="34">
        <f t="shared" si="3"/>
        <v>42297</v>
      </c>
      <c r="E79" s="35" t="s">
        <v>1453</v>
      </c>
      <c r="F79" s="2">
        <v>0.64652777777777781</v>
      </c>
      <c r="G79" s="3" t="s">
        <v>79</v>
      </c>
      <c r="H79" s="3" t="s">
        <v>55</v>
      </c>
      <c r="I79" s="25" t="str">
        <f>VLOOKUP(H79,Tabla5[#All],4,FALSE)</f>
        <v>-31,4015892433235, -64,160442876477</v>
      </c>
      <c r="J79" s="1">
        <v>21067</v>
      </c>
      <c r="K79" s="7">
        <f>INT((crimenes_cordoba_ampliado[[#This Row],[Fecha]]-crimenes_cordoba_ampliado[[#This Row],[Fecha Nac. Delincuente]])/365)</f>
        <v>58</v>
      </c>
      <c r="L79" s="7" t="str">
        <f>_xlfn.XLOOKUP(crimenes_cordoba_ampliado[[#This Row],[EDAD DELINCUENTE]],'Rango etareo'!$A$10:$A$25,'Rango etareo'!$B$10:$B$25,,-1)</f>
        <v>56 - 65</v>
      </c>
      <c r="M79" s="3" t="s">
        <v>22</v>
      </c>
      <c r="N79" s="3" t="str">
        <f>IF(crimenes_cordoba_ampliado[[#This Row],[Género Delincuente]]="Femenino","🚺","🚹")</f>
        <v>🚹</v>
      </c>
      <c r="O79">
        <v>2</v>
      </c>
      <c r="P79" s="1">
        <v>29285</v>
      </c>
      <c r="Q79" s="7">
        <f>INT((crimenes_cordoba_ampliado[[#This Row],[Fecha]]-crimenes_cordoba_ampliado[[#This Row],[Fecha Nac. Víctima]])/365)</f>
        <v>35</v>
      </c>
      <c r="R79" s="7" t="str">
        <f>_xlfn.XLOOKUP(crimenes_cordoba_ampliado[[#This Row],[EDAD VICTIMA]],'Rango etareo'!$A$2:$A$25,'Rango etareo'!$B$2:$B$25,,-1)</f>
        <v>26 - 35</v>
      </c>
      <c r="S79" s="3" t="s">
        <v>22</v>
      </c>
      <c r="T79" s="3" t="str">
        <f>IF(crimenes_cordoba_ampliado[[#This Row],[Género Víctima]]="Masculino","🚹","🚺")</f>
        <v>🚹</v>
      </c>
      <c r="U79">
        <v>3</v>
      </c>
      <c r="V79" s="3" t="s">
        <v>25</v>
      </c>
      <c r="W79" s="3" t="s">
        <v>24</v>
      </c>
      <c r="X79" s="3" t="s">
        <v>24</v>
      </c>
      <c r="Y79" s="3" t="s">
        <v>39</v>
      </c>
      <c r="Z79" s="3" t="s">
        <v>25</v>
      </c>
      <c r="AA79" s="3" t="s">
        <v>25</v>
      </c>
      <c r="AB79" s="3" t="str">
        <f>IF(crimenes_cordoba_ampliado[[#This Row],[Hubo Arresto]]="Sí", "Resuelto", "Pendiente")</f>
        <v>Pendiente</v>
      </c>
      <c r="AC79" s="3" t="s">
        <v>24</v>
      </c>
      <c r="AD79" s="3"/>
    </row>
    <row r="80" spans="1:30" x14ac:dyDescent="0.25">
      <c r="A80">
        <v>553</v>
      </c>
      <c r="B80" s="1">
        <v>42300</v>
      </c>
      <c r="C80" s="33">
        <f t="shared" si="2"/>
        <v>42300</v>
      </c>
      <c r="D80" s="34">
        <f t="shared" si="3"/>
        <v>42300</v>
      </c>
      <c r="E80" s="35" t="s">
        <v>1455</v>
      </c>
      <c r="F80" s="2">
        <v>0.35208333333333336</v>
      </c>
      <c r="G80" s="3" t="s">
        <v>45</v>
      </c>
      <c r="H80" s="3" t="s">
        <v>65</v>
      </c>
      <c r="I80" s="25" t="str">
        <f>VLOOKUP(H80,Tabla5[#All],4,FALSE)</f>
        <v>-31,4285567311661, -64,1853198281007</v>
      </c>
      <c r="J80" s="1">
        <v>24307</v>
      </c>
      <c r="K80" s="7">
        <f>INT((crimenes_cordoba_ampliado[[#This Row],[Fecha]]-crimenes_cordoba_ampliado[[#This Row],[Fecha Nac. Delincuente]])/365)</f>
        <v>49</v>
      </c>
      <c r="L80" s="7" t="str">
        <f>_xlfn.XLOOKUP(crimenes_cordoba_ampliado[[#This Row],[EDAD DELINCUENTE]],'Rango etareo'!$A$10:$A$25,'Rango etareo'!$B$10:$B$25,,-1)</f>
        <v>46 - 55</v>
      </c>
      <c r="M80" s="3" t="s">
        <v>22</v>
      </c>
      <c r="N80" s="3" t="str">
        <f>IF(crimenes_cordoba_ampliado[[#This Row],[Género Delincuente]]="Femenino","🚺","🚹")</f>
        <v>🚹</v>
      </c>
      <c r="O80">
        <v>1</v>
      </c>
      <c r="P80" s="1">
        <v>30368</v>
      </c>
      <c r="Q80" s="7">
        <f>INT((crimenes_cordoba_ampliado[[#This Row],[Fecha]]-crimenes_cordoba_ampliado[[#This Row],[Fecha Nac. Víctima]])/365)</f>
        <v>32</v>
      </c>
      <c r="R80" s="7" t="str">
        <f>_xlfn.XLOOKUP(crimenes_cordoba_ampliado[[#This Row],[EDAD VICTIMA]],'Rango etareo'!$A$2:$A$25,'Rango etareo'!$B$2:$B$25,,-1)</f>
        <v>26 - 35</v>
      </c>
      <c r="S80" s="3" t="s">
        <v>21</v>
      </c>
      <c r="T80" s="3" t="str">
        <f>IF(crimenes_cordoba_ampliado[[#This Row],[Género Víctima]]="Masculino","🚹","🚺")</f>
        <v>🚺</v>
      </c>
      <c r="U80">
        <v>1</v>
      </c>
      <c r="V80" s="3" t="s">
        <v>25</v>
      </c>
      <c r="W80" s="3" t="s">
        <v>24</v>
      </c>
      <c r="X80" s="3" t="s">
        <v>24</v>
      </c>
      <c r="Y80" s="3" t="s">
        <v>53</v>
      </c>
      <c r="Z80" s="3" t="s">
        <v>25</v>
      </c>
      <c r="AA80" s="3" t="s">
        <v>25</v>
      </c>
      <c r="AB80" s="3" t="str">
        <f>IF(crimenes_cordoba_ampliado[[#This Row],[Hubo Arresto]]="Sí", "Resuelto", "Pendiente")</f>
        <v>Pendiente</v>
      </c>
      <c r="AC80" s="3" t="s">
        <v>24</v>
      </c>
      <c r="AD80" s="3"/>
    </row>
    <row r="81" spans="1:30" x14ac:dyDescent="0.25">
      <c r="A81">
        <v>75</v>
      </c>
      <c r="B81" s="1">
        <v>45649</v>
      </c>
      <c r="C81" s="33">
        <f t="shared" si="2"/>
        <v>45649</v>
      </c>
      <c r="D81" s="34">
        <f t="shared" si="3"/>
        <v>45649</v>
      </c>
      <c r="E81" s="35" t="s">
        <v>1452</v>
      </c>
      <c r="F81" s="2">
        <v>0.5180555555555556</v>
      </c>
      <c r="G81" s="3" t="s">
        <v>81</v>
      </c>
      <c r="H81" s="3" t="s">
        <v>62</v>
      </c>
      <c r="I81" s="25" t="str">
        <f>VLOOKUP(H81,Tabla5[#All],4,FALSE)</f>
        <v>-31,3909520937826, -64,1836424491715</v>
      </c>
      <c r="J81" s="1">
        <v>18798</v>
      </c>
      <c r="K81" s="7">
        <f>INT((crimenes_cordoba_ampliado[[#This Row],[Fecha]]-crimenes_cordoba_ampliado[[#This Row],[Fecha Nac. Delincuente]])/365)</f>
        <v>73</v>
      </c>
      <c r="L81" s="7" t="str">
        <f>_xlfn.XLOOKUP(crimenes_cordoba_ampliado[[#This Row],[EDAD DELINCUENTE]],'Rango etareo'!$A$10:$A$25,'Rango etareo'!$B$10:$B$25,,-1)</f>
        <v>&gt;65</v>
      </c>
      <c r="M81" s="3" t="s">
        <v>22</v>
      </c>
      <c r="N81" s="3" t="str">
        <f>IF(crimenes_cordoba_ampliado[[#This Row],[Género Delincuente]]="Femenino","🚺","🚹")</f>
        <v>🚹</v>
      </c>
      <c r="O81">
        <v>5</v>
      </c>
      <c r="P81" s="1">
        <v>42222</v>
      </c>
      <c r="Q81" s="7">
        <f>INT((crimenes_cordoba_ampliado[[#This Row],[Fecha]]-crimenes_cordoba_ampliado[[#This Row],[Fecha Nac. Víctima]])/365)</f>
        <v>9</v>
      </c>
      <c r="R81" s="7" t="str">
        <f>_xlfn.XLOOKUP(crimenes_cordoba_ampliado[[#This Row],[EDAD VICTIMA]],'Rango etareo'!$A$2:$A$25,'Rango etareo'!$B$2:$B$25,,-1)</f>
        <v>&lt;=17</v>
      </c>
      <c r="S81" s="3" t="s">
        <v>22</v>
      </c>
      <c r="T81" s="3" t="str">
        <f>IF(crimenes_cordoba_ampliado[[#This Row],[Género Víctima]]="Masculino","🚹","🚺")</f>
        <v>🚹</v>
      </c>
      <c r="U81">
        <v>1</v>
      </c>
      <c r="V81" s="3" t="s">
        <v>23</v>
      </c>
      <c r="W81" s="3" t="s">
        <v>24</v>
      </c>
      <c r="X81" s="3" t="s">
        <v>24</v>
      </c>
      <c r="Y81" s="3" t="s">
        <v>56</v>
      </c>
      <c r="Z81" s="3" t="s">
        <v>25</v>
      </c>
      <c r="AA81" s="3" t="s">
        <v>23</v>
      </c>
      <c r="AB81" s="3" t="str">
        <f>IF(crimenes_cordoba_ampliado[[#This Row],[Hubo Arresto]]="Sí", "Resuelto", "Pendiente")</f>
        <v>Resuelto</v>
      </c>
      <c r="AC81" s="3" t="s">
        <v>111</v>
      </c>
      <c r="AD81" s="3"/>
    </row>
    <row r="82" spans="1:30" x14ac:dyDescent="0.25">
      <c r="A82">
        <v>76</v>
      </c>
      <c r="B82" s="1">
        <v>44017</v>
      </c>
      <c r="C82" s="33">
        <f t="shared" si="2"/>
        <v>44017</v>
      </c>
      <c r="D82" s="34">
        <f t="shared" si="3"/>
        <v>44017</v>
      </c>
      <c r="E82" s="35" t="s">
        <v>1449</v>
      </c>
      <c r="F82" s="2">
        <v>0.9506944444444444</v>
      </c>
      <c r="G82" s="3" t="s">
        <v>79</v>
      </c>
      <c r="H82" s="3" t="s">
        <v>40</v>
      </c>
      <c r="I82" s="25" t="str">
        <f>VLOOKUP(H82,Tabla5[#All],4,FALSE)</f>
        <v>-31,334500143441, -64,2460773260564</v>
      </c>
      <c r="J82" s="1">
        <v>28342</v>
      </c>
      <c r="K82" s="7">
        <f>INT((crimenes_cordoba_ampliado[[#This Row],[Fecha]]-crimenes_cordoba_ampliado[[#This Row],[Fecha Nac. Delincuente]])/365)</f>
        <v>42</v>
      </c>
      <c r="L82" s="7" t="str">
        <f>_xlfn.XLOOKUP(crimenes_cordoba_ampliado[[#This Row],[EDAD DELINCUENTE]],'Rango etareo'!$A$10:$A$25,'Rango etareo'!$B$10:$B$25,,-1)</f>
        <v>36 - 45</v>
      </c>
      <c r="M82" s="3" t="s">
        <v>21</v>
      </c>
      <c r="N82" s="3" t="str">
        <f>IF(crimenes_cordoba_ampliado[[#This Row],[Género Delincuente]]="Femenino","🚺","🚹")</f>
        <v>🚺</v>
      </c>
      <c r="O82">
        <v>4</v>
      </c>
      <c r="P82" s="1">
        <v>19952</v>
      </c>
      <c r="Q82" s="7">
        <f>INT((crimenes_cordoba_ampliado[[#This Row],[Fecha]]-crimenes_cordoba_ampliado[[#This Row],[Fecha Nac. Víctima]])/365)</f>
        <v>65</v>
      </c>
      <c r="R82" s="7" t="str">
        <f>_xlfn.XLOOKUP(crimenes_cordoba_ampliado[[#This Row],[EDAD VICTIMA]],'Rango etareo'!$A$2:$A$25,'Rango etareo'!$B$2:$B$25,,-1)</f>
        <v>&gt;65</v>
      </c>
      <c r="S82" s="3" t="s">
        <v>22</v>
      </c>
      <c r="T82" s="3" t="str">
        <f>IF(crimenes_cordoba_ampliado[[#This Row],[Género Víctima]]="Masculino","🚹","🚺")</f>
        <v>🚹</v>
      </c>
      <c r="U82">
        <v>3</v>
      </c>
      <c r="V82" s="3" t="s">
        <v>23</v>
      </c>
      <c r="W82" s="3" t="s">
        <v>24</v>
      </c>
      <c r="X82" s="3" t="s">
        <v>67</v>
      </c>
      <c r="Y82" s="3" t="s">
        <v>24</v>
      </c>
      <c r="Z82" s="3" t="s">
        <v>23</v>
      </c>
      <c r="AA82" s="3" t="s">
        <v>23</v>
      </c>
      <c r="AB82" s="3" t="str">
        <f>IF(crimenes_cordoba_ampliado[[#This Row],[Hubo Arresto]]="Sí", "Resuelto", "Pendiente")</f>
        <v>Resuelto</v>
      </c>
      <c r="AC82" s="3" t="s">
        <v>112</v>
      </c>
      <c r="AD82" s="3"/>
    </row>
    <row r="83" spans="1:30" x14ac:dyDescent="0.25">
      <c r="A83">
        <v>82</v>
      </c>
      <c r="B83" s="1">
        <v>45408</v>
      </c>
      <c r="C83" s="33">
        <f t="shared" si="2"/>
        <v>45408</v>
      </c>
      <c r="D83" s="34">
        <f t="shared" si="3"/>
        <v>45408</v>
      </c>
      <c r="E83" s="35" t="s">
        <v>1455</v>
      </c>
      <c r="F83" s="2">
        <v>0.58125000000000004</v>
      </c>
      <c r="G83" s="3" t="s">
        <v>19</v>
      </c>
      <c r="H83" s="3" t="s">
        <v>58</v>
      </c>
      <c r="I83" s="25" t="str">
        <f>VLOOKUP(H83,Tabla5[#All],4,FALSE)</f>
        <v>-31,423018915313, -64,1493562190664</v>
      </c>
      <c r="J83" s="1">
        <v>37536</v>
      </c>
      <c r="K83" s="7">
        <f>INT((crimenes_cordoba_ampliado[[#This Row],[Fecha]]-crimenes_cordoba_ampliado[[#This Row],[Fecha Nac. Delincuente]])/365)</f>
        <v>21</v>
      </c>
      <c r="L83" s="7" t="str">
        <f>_xlfn.XLOOKUP(crimenes_cordoba_ampliado[[#This Row],[EDAD DELINCUENTE]],'Rango etareo'!$A$10:$A$25,'Rango etareo'!$B$10:$B$25,,-1)</f>
        <v>18 - 25</v>
      </c>
      <c r="M83" s="3" t="s">
        <v>22</v>
      </c>
      <c r="N83" s="3" t="str">
        <f>IF(crimenes_cordoba_ampliado[[#This Row],[Género Delincuente]]="Femenino","🚺","🚹")</f>
        <v>🚹</v>
      </c>
      <c r="O83">
        <v>4</v>
      </c>
      <c r="P83" s="1">
        <v>16634</v>
      </c>
      <c r="Q83" s="7">
        <f>INT((crimenes_cordoba_ampliado[[#This Row],[Fecha]]-crimenes_cordoba_ampliado[[#This Row],[Fecha Nac. Víctima]])/365)</f>
        <v>78</v>
      </c>
      <c r="R83" s="7" t="str">
        <f>_xlfn.XLOOKUP(crimenes_cordoba_ampliado[[#This Row],[EDAD VICTIMA]],'Rango etareo'!$A$2:$A$25,'Rango etareo'!$B$2:$B$25,,-1)</f>
        <v>&gt;65</v>
      </c>
      <c r="S83" s="3" t="s">
        <v>21</v>
      </c>
      <c r="T83" s="3" t="str">
        <f>IF(crimenes_cordoba_ampliado[[#This Row],[Género Víctima]]="Masculino","🚹","🚺")</f>
        <v>🚺</v>
      </c>
      <c r="U83">
        <v>3</v>
      </c>
      <c r="V83" s="3" t="s">
        <v>23</v>
      </c>
      <c r="W83" s="3" t="s">
        <v>24</v>
      </c>
      <c r="X83" s="3" t="s">
        <v>24</v>
      </c>
      <c r="Y83" s="3" t="s">
        <v>69</v>
      </c>
      <c r="Z83" s="3" t="s">
        <v>25</v>
      </c>
      <c r="AA83" s="3" t="s">
        <v>25</v>
      </c>
      <c r="AB83" s="3" t="str">
        <f>IF(crimenes_cordoba_ampliado[[#This Row],[Hubo Arresto]]="Sí", "Resuelto", "Pendiente")</f>
        <v>Resuelto</v>
      </c>
      <c r="AC83" s="3" t="s">
        <v>114</v>
      </c>
      <c r="AD83" s="3"/>
    </row>
    <row r="84" spans="1:30" x14ac:dyDescent="0.25">
      <c r="A84">
        <v>84</v>
      </c>
      <c r="B84" s="1">
        <v>43125</v>
      </c>
      <c r="C84" s="33">
        <f t="shared" si="2"/>
        <v>43125</v>
      </c>
      <c r="D84" s="34">
        <f t="shared" si="3"/>
        <v>43125</v>
      </c>
      <c r="E84" s="35" t="s">
        <v>1454</v>
      </c>
      <c r="F84" s="2">
        <v>0.61388888888888893</v>
      </c>
      <c r="G84" s="3" t="s">
        <v>45</v>
      </c>
      <c r="H84" s="3" t="s">
        <v>62</v>
      </c>
      <c r="I84" s="25" t="str">
        <f>VLOOKUP(H84,Tabla5[#All],4,FALSE)</f>
        <v>-31,3909520937826, -64,1836424491715</v>
      </c>
      <c r="J84" s="1">
        <v>26105</v>
      </c>
      <c r="K84" s="7">
        <f>INT((crimenes_cordoba_ampliado[[#This Row],[Fecha]]-crimenes_cordoba_ampliado[[#This Row],[Fecha Nac. Delincuente]])/365)</f>
        <v>46</v>
      </c>
      <c r="L84" s="7" t="str">
        <f>_xlfn.XLOOKUP(crimenes_cordoba_ampliado[[#This Row],[EDAD DELINCUENTE]],'Rango etareo'!$A$10:$A$25,'Rango etareo'!$B$10:$B$25,,-1)</f>
        <v>46 - 55</v>
      </c>
      <c r="M84" s="3" t="s">
        <v>22</v>
      </c>
      <c r="N84" s="3" t="str">
        <f>IF(crimenes_cordoba_ampliado[[#This Row],[Género Delincuente]]="Femenino","🚺","🚹")</f>
        <v>🚹</v>
      </c>
      <c r="O84">
        <v>1</v>
      </c>
      <c r="P84" s="1">
        <v>38242</v>
      </c>
      <c r="Q84" s="7">
        <f>INT((crimenes_cordoba_ampliado[[#This Row],[Fecha]]-crimenes_cordoba_ampliado[[#This Row],[Fecha Nac. Víctima]])/365)</f>
        <v>13</v>
      </c>
      <c r="R84" s="7" t="str">
        <f>_xlfn.XLOOKUP(crimenes_cordoba_ampliado[[#This Row],[EDAD VICTIMA]],'Rango etareo'!$A$2:$A$25,'Rango etareo'!$B$2:$B$25,,-1)</f>
        <v>&lt;=17</v>
      </c>
      <c r="S84" s="3" t="s">
        <v>22</v>
      </c>
      <c r="T84" s="3" t="str">
        <f>IF(crimenes_cordoba_ampliado[[#This Row],[Género Víctima]]="Masculino","🚹","🚺")</f>
        <v>🚹</v>
      </c>
      <c r="U84">
        <v>2</v>
      </c>
      <c r="V84" s="3" t="s">
        <v>23</v>
      </c>
      <c r="W84" s="3" t="s">
        <v>24</v>
      </c>
      <c r="X84" s="3" t="s">
        <v>24</v>
      </c>
      <c r="Y84" s="3" t="s">
        <v>56</v>
      </c>
      <c r="Z84" s="3" t="s">
        <v>25</v>
      </c>
      <c r="AA84" s="3" t="s">
        <v>23</v>
      </c>
      <c r="AB84" s="3" t="str">
        <f>IF(crimenes_cordoba_ampliado[[#This Row],[Hubo Arresto]]="Sí", "Resuelto", "Pendiente")</f>
        <v>Resuelto</v>
      </c>
      <c r="AC84" s="3" t="s">
        <v>92</v>
      </c>
      <c r="AD84" s="3"/>
    </row>
    <row r="85" spans="1:30" x14ac:dyDescent="0.25">
      <c r="A85">
        <v>86</v>
      </c>
      <c r="B85" s="1">
        <v>43472</v>
      </c>
      <c r="C85" s="33">
        <f t="shared" si="2"/>
        <v>43472</v>
      </c>
      <c r="D85" s="34">
        <f t="shared" si="3"/>
        <v>43472</v>
      </c>
      <c r="E85" s="35" t="s">
        <v>1452</v>
      </c>
      <c r="F85" s="2">
        <v>0.85833333333333328</v>
      </c>
      <c r="G85" s="3" t="s">
        <v>19</v>
      </c>
      <c r="H85" s="3" t="s">
        <v>49</v>
      </c>
      <c r="I85" s="25" t="str">
        <f>VLOOKUP(H85,Tabla5[#All],4,FALSE)</f>
        <v>-31,4506257494184, -64,1733054344705</v>
      </c>
      <c r="J85" s="1">
        <v>27878</v>
      </c>
      <c r="K85" s="7">
        <f>INT((crimenes_cordoba_ampliado[[#This Row],[Fecha]]-crimenes_cordoba_ampliado[[#This Row],[Fecha Nac. Delincuente]])/365)</f>
        <v>42</v>
      </c>
      <c r="L85" s="7" t="str">
        <f>_xlfn.XLOOKUP(crimenes_cordoba_ampliado[[#This Row],[EDAD DELINCUENTE]],'Rango etareo'!$A$10:$A$25,'Rango etareo'!$B$10:$B$25,,-1)</f>
        <v>36 - 45</v>
      </c>
      <c r="M85" s="3" t="s">
        <v>22</v>
      </c>
      <c r="N85" s="3" t="str">
        <f>IF(crimenes_cordoba_ampliado[[#This Row],[Género Delincuente]]="Femenino","🚺","🚹")</f>
        <v>🚹</v>
      </c>
      <c r="O85">
        <v>3</v>
      </c>
      <c r="P85" s="1">
        <v>24232</v>
      </c>
      <c r="Q85" s="7">
        <f>INT((crimenes_cordoba_ampliado[[#This Row],[Fecha]]-crimenes_cordoba_ampliado[[#This Row],[Fecha Nac. Víctima]])/365)</f>
        <v>52</v>
      </c>
      <c r="R85" s="7" t="str">
        <f>_xlfn.XLOOKUP(crimenes_cordoba_ampliado[[#This Row],[EDAD VICTIMA]],'Rango etareo'!$A$2:$A$25,'Rango etareo'!$B$2:$B$25,,-1)</f>
        <v>46 - 55</v>
      </c>
      <c r="S85" s="3" t="s">
        <v>21</v>
      </c>
      <c r="T85" s="3" t="str">
        <f>IF(crimenes_cordoba_ampliado[[#This Row],[Género Víctima]]="Masculino","🚹","🚺")</f>
        <v>🚺</v>
      </c>
      <c r="U85">
        <v>2</v>
      </c>
      <c r="V85" s="3" t="s">
        <v>23</v>
      </c>
      <c r="W85" s="3" t="s">
        <v>63</v>
      </c>
      <c r="X85" s="3" t="s">
        <v>41</v>
      </c>
      <c r="Y85" s="3" t="s">
        <v>24</v>
      </c>
      <c r="Z85" s="3" t="s">
        <v>25</v>
      </c>
      <c r="AA85" s="3" t="s">
        <v>25</v>
      </c>
      <c r="AB85" s="3" t="str">
        <f>IF(crimenes_cordoba_ampliado[[#This Row],[Hubo Arresto]]="Sí", "Resuelto", "Pendiente")</f>
        <v>Resuelto</v>
      </c>
      <c r="AC85" s="3" t="s">
        <v>115</v>
      </c>
      <c r="AD85" s="3"/>
    </row>
    <row r="86" spans="1:30" x14ac:dyDescent="0.25">
      <c r="A86">
        <v>90</v>
      </c>
      <c r="B86" s="1">
        <v>45550</v>
      </c>
      <c r="C86" s="33">
        <f t="shared" si="2"/>
        <v>45550</v>
      </c>
      <c r="D86" s="34">
        <f t="shared" si="3"/>
        <v>45550</v>
      </c>
      <c r="E86" s="35" t="s">
        <v>1449</v>
      </c>
      <c r="F86" s="2">
        <v>0.67708333333333337</v>
      </c>
      <c r="G86" s="3" t="s">
        <v>42</v>
      </c>
      <c r="H86" s="3" t="s">
        <v>32</v>
      </c>
      <c r="I86" s="25" t="str">
        <f>VLOOKUP(H86,Tabla5[#All],4,FALSE)</f>
        <v>-31,4148488101991, -64,1793406489438</v>
      </c>
      <c r="J86" s="1">
        <v>33314</v>
      </c>
      <c r="K86" s="7">
        <f>INT((crimenes_cordoba_ampliado[[#This Row],[Fecha]]-crimenes_cordoba_ampliado[[#This Row],[Fecha Nac. Delincuente]])/365)</f>
        <v>33</v>
      </c>
      <c r="L86" s="7" t="str">
        <f>_xlfn.XLOOKUP(crimenes_cordoba_ampliado[[#This Row],[EDAD DELINCUENTE]],'Rango etareo'!$A$10:$A$25,'Rango etareo'!$B$10:$B$25,,-1)</f>
        <v>26 - 35</v>
      </c>
      <c r="M86" s="3" t="s">
        <v>22</v>
      </c>
      <c r="N86" s="3" t="str">
        <f>IF(crimenes_cordoba_ampliado[[#This Row],[Género Delincuente]]="Femenino","🚺","🚹")</f>
        <v>🚹</v>
      </c>
      <c r="O86">
        <v>1</v>
      </c>
      <c r="P86" s="1">
        <v>32890</v>
      </c>
      <c r="Q86" s="7">
        <f>INT((crimenes_cordoba_ampliado[[#This Row],[Fecha]]-crimenes_cordoba_ampliado[[#This Row],[Fecha Nac. Víctima]])/365)</f>
        <v>34</v>
      </c>
      <c r="R86" s="7" t="str">
        <f>_xlfn.XLOOKUP(crimenes_cordoba_ampliado[[#This Row],[EDAD VICTIMA]],'Rango etareo'!$A$2:$A$25,'Rango etareo'!$B$2:$B$25,,-1)</f>
        <v>26 - 35</v>
      </c>
      <c r="S86" s="3" t="s">
        <v>22</v>
      </c>
      <c r="T86" s="3" t="str">
        <f>IF(crimenes_cordoba_ampliado[[#This Row],[Género Víctima]]="Masculino","🚹","🚺")</f>
        <v>🚹</v>
      </c>
      <c r="U86">
        <v>3</v>
      </c>
      <c r="V86" s="3" t="s">
        <v>23</v>
      </c>
      <c r="W86" s="3" t="s">
        <v>24</v>
      </c>
      <c r="X86" s="3" t="s">
        <v>24</v>
      </c>
      <c r="Y86" s="3" t="s">
        <v>72</v>
      </c>
      <c r="Z86" s="3" t="s">
        <v>23</v>
      </c>
      <c r="AA86" s="3" t="s">
        <v>25</v>
      </c>
      <c r="AB86" s="3" t="str">
        <f>IF(crimenes_cordoba_ampliado[[#This Row],[Hubo Arresto]]="Sí", "Resuelto", "Pendiente")</f>
        <v>Resuelto</v>
      </c>
      <c r="AC86" s="3" t="s">
        <v>116</v>
      </c>
      <c r="AD86" s="3"/>
    </row>
    <row r="87" spans="1:30" x14ac:dyDescent="0.25">
      <c r="A87">
        <v>671</v>
      </c>
      <c r="B87" s="1">
        <v>42364</v>
      </c>
      <c r="C87" s="33">
        <f t="shared" si="2"/>
        <v>42364</v>
      </c>
      <c r="D87" s="34">
        <f t="shared" si="3"/>
        <v>42364</v>
      </c>
      <c r="E87" s="35" t="s">
        <v>1451</v>
      </c>
      <c r="F87" s="2">
        <v>0.95486111111111116</v>
      </c>
      <c r="G87" s="3" t="s">
        <v>35</v>
      </c>
      <c r="H87" s="3" t="s">
        <v>40</v>
      </c>
      <c r="I87" s="25" t="str">
        <f>VLOOKUP(H87,Tabla5[#All],4,FALSE)</f>
        <v>-31,334500143441, -64,2460773260564</v>
      </c>
      <c r="J87" s="1">
        <v>26200</v>
      </c>
      <c r="K87" s="7">
        <f>INT((crimenes_cordoba_ampliado[[#This Row],[Fecha]]-crimenes_cordoba_ampliado[[#This Row],[Fecha Nac. Delincuente]])/365)</f>
        <v>44</v>
      </c>
      <c r="L87" s="7" t="str">
        <f>_xlfn.XLOOKUP(crimenes_cordoba_ampliado[[#This Row],[EDAD DELINCUENTE]],'Rango etareo'!$A$10:$A$25,'Rango etareo'!$B$10:$B$25,,-1)</f>
        <v>36 - 45</v>
      </c>
      <c r="M87" s="3" t="s">
        <v>22</v>
      </c>
      <c r="N87" s="3" t="str">
        <f>IF(crimenes_cordoba_ampliado[[#This Row],[Género Delincuente]]="Femenino","🚺","🚹")</f>
        <v>🚹</v>
      </c>
      <c r="O87">
        <v>3</v>
      </c>
      <c r="P87" s="1">
        <v>34824</v>
      </c>
      <c r="Q87" s="7">
        <f>INT((crimenes_cordoba_ampliado[[#This Row],[Fecha]]-crimenes_cordoba_ampliado[[#This Row],[Fecha Nac. Víctima]])/365)</f>
        <v>20</v>
      </c>
      <c r="R87" s="7" t="str">
        <f>_xlfn.XLOOKUP(crimenes_cordoba_ampliado[[#This Row],[EDAD VICTIMA]],'Rango etareo'!$A$2:$A$25,'Rango etareo'!$B$2:$B$25,,-1)</f>
        <v>18 - 25</v>
      </c>
      <c r="S87" s="3" t="s">
        <v>22</v>
      </c>
      <c r="T87" s="3" t="str">
        <f>IF(crimenes_cordoba_ampliado[[#This Row],[Género Víctima]]="Masculino","🚹","🚺")</f>
        <v>🚹</v>
      </c>
      <c r="U87">
        <v>1</v>
      </c>
      <c r="V87" s="3" t="s">
        <v>25</v>
      </c>
      <c r="W87" s="3" t="s">
        <v>71</v>
      </c>
      <c r="X87" s="3" t="s">
        <v>24</v>
      </c>
      <c r="Y87" s="3" t="s">
        <v>99</v>
      </c>
      <c r="Z87" s="3" t="s">
        <v>23</v>
      </c>
      <c r="AA87" s="3" t="s">
        <v>25</v>
      </c>
      <c r="AB87" s="3" t="str">
        <f>IF(crimenes_cordoba_ampliado[[#This Row],[Hubo Arresto]]="Sí", "Resuelto", "Pendiente")</f>
        <v>Pendiente</v>
      </c>
      <c r="AC87" s="3" t="s">
        <v>24</v>
      </c>
      <c r="AD87" s="3"/>
    </row>
    <row r="88" spans="1:30" x14ac:dyDescent="0.25">
      <c r="A88">
        <v>365</v>
      </c>
      <c r="B88" s="1">
        <v>42365</v>
      </c>
      <c r="C88" s="33">
        <f t="shared" si="2"/>
        <v>42365</v>
      </c>
      <c r="D88" s="34">
        <f t="shared" si="3"/>
        <v>42365</v>
      </c>
      <c r="E88" s="35" t="s">
        <v>1449</v>
      </c>
      <c r="F88" s="2">
        <v>0.5805555555555556</v>
      </c>
      <c r="G88" s="3" t="s">
        <v>19</v>
      </c>
      <c r="H88" s="3" t="s">
        <v>62</v>
      </c>
      <c r="I88" s="25" t="str">
        <f>VLOOKUP(H88,Tabla5[#All],4,FALSE)</f>
        <v>-31,3909520937826, -64,1836424491715</v>
      </c>
      <c r="J88" s="1">
        <v>20526</v>
      </c>
      <c r="K88" s="7">
        <f>INT((crimenes_cordoba_ampliado[[#This Row],[Fecha]]-crimenes_cordoba_ampliado[[#This Row],[Fecha Nac. Delincuente]])/365)</f>
        <v>59</v>
      </c>
      <c r="L88" s="7" t="str">
        <f>_xlfn.XLOOKUP(crimenes_cordoba_ampliado[[#This Row],[EDAD DELINCUENTE]],'Rango etareo'!$A$10:$A$25,'Rango etareo'!$B$10:$B$25,,-1)</f>
        <v>56 - 65</v>
      </c>
      <c r="M88" s="3" t="s">
        <v>21</v>
      </c>
      <c r="N88" s="3" t="str">
        <f>IF(crimenes_cordoba_ampliado[[#This Row],[Género Delincuente]]="Femenino","🚺","🚹")</f>
        <v>🚺</v>
      </c>
      <c r="O88">
        <v>4</v>
      </c>
      <c r="P88" s="1">
        <v>24413</v>
      </c>
      <c r="Q88" s="7">
        <f>INT((crimenes_cordoba_ampliado[[#This Row],[Fecha]]-crimenes_cordoba_ampliado[[#This Row],[Fecha Nac. Víctima]])/365)</f>
        <v>49</v>
      </c>
      <c r="R88" s="7" t="str">
        <f>_xlfn.XLOOKUP(crimenes_cordoba_ampliado[[#This Row],[EDAD VICTIMA]],'Rango etareo'!$A$2:$A$25,'Rango etareo'!$B$2:$B$25,,-1)</f>
        <v>46 - 55</v>
      </c>
      <c r="S88" s="3" t="s">
        <v>22</v>
      </c>
      <c r="T88" s="3" t="str">
        <f>IF(crimenes_cordoba_ampliado[[#This Row],[Género Víctima]]="Masculino","🚹","🚺")</f>
        <v>🚹</v>
      </c>
      <c r="U88">
        <v>1</v>
      </c>
      <c r="V88" s="3" t="s">
        <v>25</v>
      </c>
      <c r="W88" s="3" t="s">
        <v>24</v>
      </c>
      <c r="X88" s="3" t="s">
        <v>24</v>
      </c>
      <c r="Y88" s="3" t="s">
        <v>69</v>
      </c>
      <c r="Z88" s="3" t="s">
        <v>23</v>
      </c>
      <c r="AA88" s="3" t="s">
        <v>23</v>
      </c>
      <c r="AB88" s="3" t="str">
        <f>IF(crimenes_cordoba_ampliado[[#This Row],[Hubo Arresto]]="Sí", "Resuelto", "Pendiente")</f>
        <v>Pendiente</v>
      </c>
      <c r="AC88" s="3" t="s">
        <v>24</v>
      </c>
      <c r="AD88" s="3"/>
    </row>
    <row r="89" spans="1:30" x14ac:dyDescent="0.25">
      <c r="A89">
        <v>91</v>
      </c>
      <c r="B89" s="1">
        <v>44809</v>
      </c>
      <c r="C89" s="33">
        <f t="shared" si="2"/>
        <v>44809</v>
      </c>
      <c r="D89" s="34">
        <f t="shared" si="3"/>
        <v>44809</v>
      </c>
      <c r="E89" s="35" t="s">
        <v>1452</v>
      </c>
      <c r="F89" s="2">
        <v>0.65902777777777777</v>
      </c>
      <c r="G89" s="3" t="s">
        <v>31</v>
      </c>
      <c r="H89" s="3" t="s">
        <v>20</v>
      </c>
      <c r="I89" s="25" t="str">
        <f>VLOOKUP(H89,Tabla5[#All],4,FALSE)</f>
        <v>-31,4800162965848, -64,2094200976892</v>
      </c>
      <c r="J89" s="1">
        <v>37683</v>
      </c>
      <c r="K89" s="7">
        <f>INT((crimenes_cordoba_ampliado[[#This Row],[Fecha]]-crimenes_cordoba_ampliado[[#This Row],[Fecha Nac. Delincuente]])/365)</f>
        <v>19</v>
      </c>
      <c r="L89" s="7" t="str">
        <f>_xlfn.XLOOKUP(crimenes_cordoba_ampliado[[#This Row],[EDAD DELINCUENTE]],'Rango etareo'!$A$10:$A$25,'Rango etareo'!$B$10:$B$25,,-1)</f>
        <v>18 - 25</v>
      </c>
      <c r="M89" s="3" t="s">
        <v>22</v>
      </c>
      <c r="N89" s="3" t="str">
        <f>IF(crimenes_cordoba_ampliado[[#This Row],[Género Delincuente]]="Femenino","🚺","🚹")</f>
        <v>🚹</v>
      </c>
      <c r="O89">
        <v>4</v>
      </c>
      <c r="P89" s="1">
        <v>31635</v>
      </c>
      <c r="Q89" s="7">
        <f>INT((crimenes_cordoba_ampliado[[#This Row],[Fecha]]-crimenes_cordoba_ampliado[[#This Row],[Fecha Nac. Víctima]])/365)</f>
        <v>36</v>
      </c>
      <c r="R89" s="7" t="str">
        <f>_xlfn.XLOOKUP(crimenes_cordoba_ampliado[[#This Row],[EDAD VICTIMA]],'Rango etareo'!$A$2:$A$25,'Rango etareo'!$B$2:$B$25,,-1)</f>
        <v>36 - 45</v>
      </c>
      <c r="S89" s="3" t="s">
        <v>21</v>
      </c>
      <c r="T89" s="3" t="str">
        <f>IF(crimenes_cordoba_ampliado[[#This Row],[Género Víctima]]="Masculino","🚹","🚺")</f>
        <v>🚺</v>
      </c>
      <c r="U89">
        <v>2</v>
      </c>
      <c r="V89" s="3" t="s">
        <v>23</v>
      </c>
      <c r="W89" s="3" t="s">
        <v>24</v>
      </c>
      <c r="X89" s="3" t="s">
        <v>24</v>
      </c>
      <c r="Y89" s="3" t="s">
        <v>106</v>
      </c>
      <c r="Z89" s="3" t="s">
        <v>25</v>
      </c>
      <c r="AA89" s="3" t="s">
        <v>25</v>
      </c>
      <c r="AB89" s="3" t="str">
        <f>IF(crimenes_cordoba_ampliado[[#This Row],[Hubo Arresto]]="Sí", "Resuelto", "Pendiente")</f>
        <v>Resuelto</v>
      </c>
      <c r="AC89" s="3" t="s">
        <v>74</v>
      </c>
      <c r="AD89" s="3"/>
    </row>
    <row r="90" spans="1:30" x14ac:dyDescent="0.25">
      <c r="A90">
        <v>93</v>
      </c>
      <c r="B90" s="1">
        <v>43020</v>
      </c>
      <c r="C90" s="33">
        <f t="shared" si="2"/>
        <v>43020</v>
      </c>
      <c r="D90" s="34">
        <f t="shared" si="3"/>
        <v>43020</v>
      </c>
      <c r="E90" s="35" t="s">
        <v>1454</v>
      </c>
      <c r="F90" s="2">
        <v>0.40208333333333335</v>
      </c>
      <c r="G90" s="3" t="s">
        <v>79</v>
      </c>
      <c r="H90" s="3" t="s">
        <v>40</v>
      </c>
      <c r="I90" s="25" t="str">
        <f>VLOOKUP(H90,Tabla5[#All],4,FALSE)</f>
        <v>-31,334500143441, -64,2460773260564</v>
      </c>
      <c r="J90" s="1">
        <v>37692</v>
      </c>
      <c r="K90" s="7">
        <f>INT((crimenes_cordoba_ampliado[[#This Row],[Fecha]]-crimenes_cordoba_ampliado[[#This Row],[Fecha Nac. Delincuente]])/365)</f>
        <v>14</v>
      </c>
      <c r="L90" s="7" t="str">
        <f>_xlfn.XLOOKUP(crimenes_cordoba_ampliado[[#This Row],[EDAD DELINCUENTE]],'Rango etareo'!$A$10:$A$25,'Rango etareo'!$B$10:$B$25,,-1)</f>
        <v>&lt;=17</v>
      </c>
      <c r="M90" s="3" t="s">
        <v>22</v>
      </c>
      <c r="N90" s="3" t="str">
        <f>IF(crimenes_cordoba_ampliado[[#This Row],[Género Delincuente]]="Femenino","🚺","🚹")</f>
        <v>🚹</v>
      </c>
      <c r="O90">
        <v>1</v>
      </c>
      <c r="P90" s="1">
        <v>41041</v>
      </c>
      <c r="Q90" s="7">
        <f>INT((crimenes_cordoba_ampliado[[#This Row],[Fecha]]-crimenes_cordoba_ampliado[[#This Row],[Fecha Nac. Víctima]])/365)</f>
        <v>5</v>
      </c>
      <c r="R90" s="7" t="str">
        <f>_xlfn.XLOOKUP(crimenes_cordoba_ampliado[[#This Row],[EDAD VICTIMA]],'Rango etareo'!$A$2:$A$25,'Rango etareo'!$B$2:$B$25,,-1)</f>
        <v>&lt;=17</v>
      </c>
      <c r="S90" s="3" t="s">
        <v>22</v>
      </c>
      <c r="T90" s="3" t="str">
        <f>IF(crimenes_cordoba_ampliado[[#This Row],[Género Víctima]]="Masculino","🚹","🚺")</f>
        <v>🚹</v>
      </c>
      <c r="U90">
        <v>1</v>
      </c>
      <c r="V90" s="3" t="s">
        <v>23</v>
      </c>
      <c r="W90" s="3" t="s">
        <v>24</v>
      </c>
      <c r="X90" s="3" t="s">
        <v>24</v>
      </c>
      <c r="Y90" s="3" t="s">
        <v>69</v>
      </c>
      <c r="Z90" s="3" t="s">
        <v>25</v>
      </c>
      <c r="AA90" s="3" t="s">
        <v>25</v>
      </c>
      <c r="AB90" s="3" t="str">
        <f>IF(crimenes_cordoba_ampliado[[#This Row],[Hubo Arresto]]="Sí", "Resuelto", "Pendiente")</f>
        <v>Resuelto</v>
      </c>
      <c r="AC90" s="3" t="s">
        <v>117</v>
      </c>
      <c r="AD90" s="3"/>
    </row>
    <row r="91" spans="1:30" x14ac:dyDescent="0.25">
      <c r="A91">
        <v>94</v>
      </c>
      <c r="B91" s="1">
        <v>45217</v>
      </c>
      <c r="C91" s="33">
        <f t="shared" si="2"/>
        <v>45217</v>
      </c>
      <c r="D91" s="34">
        <f t="shared" si="3"/>
        <v>45217</v>
      </c>
      <c r="E91" s="35" t="s">
        <v>1450</v>
      </c>
      <c r="F91" s="2">
        <v>0.47847222222222224</v>
      </c>
      <c r="G91" s="3" t="s">
        <v>54</v>
      </c>
      <c r="H91" s="3" t="s">
        <v>65</v>
      </c>
      <c r="I91" s="25" t="str">
        <f>VLOOKUP(H91,Tabla5[#All],4,FALSE)</f>
        <v>-31,4285567311661, -64,1853198281007</v>
      </c>
      <c r="J91" s="1">
        <v>33963</v>
      </c>
      <c r="K91" s="7">
        <f>INT((crimenes_cordoba_ampliado[[#This Row],[Fecha]]-crimenes_cordoba_ampliado[[#This Row],[Fecha Nac. Delincuente]])/365)</f>
        <v>30</v>
      </c>
      <c r="L91" s="7" t="str">
        <f>_xlfn.XLOOKUP(crimenes_cordoba_ampliado[[#This Row],[EDAD DELINCUENTE]],'Rango etareo'!$A$10:$A$25,'Rango etareo'!$B$10:$B$25,,-1)</f>
        <v>26 - 35</v>
      </c>
      <c r="M91" s="3" t="s">
        <v>21</v>
      </c>
      <c r="N91" s="3" t="str">
        <f>IF(crimenes_cordoba_ampliado[[#This Row],[Género Delincuente]]="Femenino","🚺","🚹")</f>
        <v>🚺</v>
      </c>
      <c r="O91">
        <v>2</v>
      </c>
      <c r="P91" s="1">
        <v>27820</v>
      </c>
      <c r="Q91" s="7">
        <f>INT((crimenes_cordoba_ampliado[[#This Row],[Fecha]]-crimenes_cordoba_ampliado[[#This Row],[Fecha Nac. Víctima]])/365)</f>
        <v>47</v>
      </c>
      <c r="R91" s="7" t="str">
        <f>_xlfn.XLOOKUP(crimenes_cordoba_ampliado[[#This Row],[EDAD VICTIMA]],'Rango etareo'!$A$2:$A$25,'Rango etareo'!$B$2:$B$25,,-1)</f>
        <v>46 - 55</v>
      </c>
      <c r="S91" s="3" t="s">
        <v>22</v>
      </c>
      <c r="T91" s="3" t="str">
        <f>IF(crimenes_cordoba_ampliado[[#This Row],[Género Víctima]]="Masculino","🚹","🚺")</f>
        <v>🚹</v>
      </c>
      <c r="U91">
        <v>2</v>
      </c>
      <c r="V91" s="3" t="s">
        <v>23</v>
      </c>
      <c r="W91" s="3" t="s">
        <v>24</v>
      </c>
      <c r="X91" s="3" t="s">
        <v>24</v>
      </c>
      <c r="Y91" s="3" t="s">
        <v>43</v>
      </c>
      <c r="Z91" s="3" t="s">
        <v>23</v>
      </c>
      <c r="AA91" s="3" t="s">
        <v>23</v>
      </c>
      <c r="AB91" s="3" t="str">
        <f>IF(crimenes_cordoba_ampliado[[#This Row],[Hubo Arresto]]="Sí", "Resuelto", "Pendiente")</f>
        <v>Resuelto</v>
      </c>
      <c r="AC91" s="3" t="s">
        <v>26</v>
      </c>
      <c r="AD91" s="3"/>
    </row>
    <row r="92" spans="1:30" x14ac:dyDescent="0.25">
      <c r="A92">
        <v>95</v>
      </c>
      <c r="B92" s="1">
        <v>42324</v>
      </c>
      <c r="C92" s="33">
        <f t="shared" si="2"/>
        <v>42324</v>
      </c>
      <c r="D92" s="34">
        <f t="shared" si="3"/>
        <v>42324</v>
      </c>
      <c r="E92" s="35" t="s">
        <v>1452</v>
      </c>
      <c r="F92" s="2">
        <v>0.21666666666666667</v>
      </c>
      <c r="G92" s="3" t="s">
        <v>42</v>
      </c>
      <c r="H92" s="3" t="s">
        <v>49</v>
      </c>
      <c r="I92" s="25" t="str">
        <f>VLOOKUP(H92,Tabla5[#All],4,FALSE)</f>
        <v>-31,4506257494184, -64,1733054344705</v>
      </c>
      <c r="J92" s="1">
        <v>26891</v>
      </c>
      <c r="K92" s="7">
        <f>INT((crimenes_cordoba_ampliado[[#This Row],[Fecha]]-crimenes_cordoba_ampliado[[#This Row],[Fecha Nac. Delincuente]])/365)</f>
        <v>42</v>
      </c>
      <c r="L92" s="7" t="str">
        <f>_xlfn.XLOOKUP(crimenes_cordoba_ampliado[[#This Row],[EDAD DELINCUENTE]],'Rango etareo'!$A$10:$A$25,'Rango etareo'!$B$10:$B$25,,-1)</f>
        <v>36 - 45</v>
      </c>
      <c r="M92" s="3" t="s">
        <v>21</v>
      </c>
      <c r="N92" s="3" t="str">
        <f>IF(crimenes_cordoba_ampliado[[#This Row],[Género Delincuente]]="Femenino","🚺","🚹")</f>
        <v>🚺</v>
      </c>
      <c r="O92">
        <v>2</v>
      </c>
      <c r="P92" s="1">
        <v>19616</v>
      </c>
      <c r="Q92" s="7">
        <f>INT((crimenes_cordoba_ampliado[[#This Row],[Fecha]]-crimenes_cordoba_ampliado[[#This Row],[Fecha Nac. Víctima]])/365)</f>
        <v>62</v>
      </c>
      <c r="R92" s="7" t="str">
        <f>_xlfn.XLOOKUP(crimenes_cordoba_ampliado[[#This Row],[EDAD VICTIMA]],'Rango etareo'!$A$2:$A$25,'Rango etareo'!$B$2:$B$25,,-1)</f>
        <v>56 - 65</v>
      </c>
      <c r="S92" s="3" t="s">
        <v>21</v>
      </c>
      <c r="T92" s="3" t="str">
        <f>IF(crimenes_cordoba_ampliado[[#This Row],[Género Víctima]]="Masculino","🚹","🚺")</f>
        <v>🚺</v>
      </c>
      <c r="U92">
        <v>1</v>
      </c>
      <c r="V92" s="3" t="s">
        <v>23</v>
      </c>
      <c r="W92" s="3" t="s">
        <v>24</v>
      </c>
      <c r="X92" s="3" t="s">
        <v>41</v>
      </c>
      <c r="Y92" s="3" t="s">
        <v>24</v>
      </c>
      <c r="Z92" s="3" t="s">
        <v>25</v>
      </c>
      <c r="AA92" s="3" t="s">
        <v>25</v>
      </c>
      <c r="AB92" s="3" t="str">
        <f>IF(crimenes_cordoba_ampliado[[#This Row],[Hubo Arresto]]="Sí", "Resuelto", "Pendiente")</f>
        <v>Resuelto</v>
      </c>
      <c r="AC92" s="3" t="s">
        <v>118</v>
      </c>
      <c r="AD92" s="3"/>
    </row>
    <row r="93" spans="1:30" x14ac:dyDescent="0.25">
      <c r="A93">
        <v>199</v>
      </c>
      <c r="B93" s="1">
        <v>42401</v>
      </c>
      <c r="C93" s="33">
        <f t="shared" si="2"/>
        <v>42401</v>
      </c>
      <c r="D93" s="34">
        <f t="shared" si="3"/>
        <v>42401</v>
      </c>
      <c r="E93" s="35" t="s">
        <v>1452</v>
      </c>
      <c r="F93" s="2">
        <v>0.7729166666666667</v>
      </c>
      <c r="G93" s="3" t="s">
        <v>45</v>
      </c>
      <c r="H93" s="3" t="s">
        <v>60</v>
      </c>
      <c r="I93" s="25" t="str">
        <f>VLOOKUP(H93,Tabla5[#All],4,FALSE)</f>
        <v>-31,4076397196409, -64,2020170430678</v>
      </c>
      <c r="J93" s="1">
        <v>24229</v>
      </c>
      <c r="K93" s="7">
        <f>INT((crimenes_cordoba_ampliado[[#This Row],[Fecha]]-crimenes_cordoba_ampliado[[#This Row],[Fecha Nac. Delincuente]])/365)</f>
        <v>49</v>
      </c>
      <c r="L93" s="7" t="str">
        <f>_xlfn.XLOOKUP(crimenes_cordoba_ampliado[[#This Row],[EDAD DELINCUENTE]],'Rango etareo'!$A$10:$A$25,'Rango etareo'!$B$10:$B$25,,-1)</f>
        <v>46 - 55</v>
      </c>
      <c r="M93" s="3" t="s">
        <v>22</v>
      </c>
      <c r="N93" s="3" t="str">
        <f>IF(crimenes_cordoba_ampliado[[#This Row],[Género Delincuente]]="Femenino","🚺","🚹")</f>
        <v>🚹</v>
      </c>
      <c r="O93">
        <v>1</v>
      </c>
      <c r="P93" s="1">
        <v>18801</v>
      </c>
      <c r="Q93" s="7">
        <f>INT((crimenes_cordoba_ampliado[[#This Row],[Fecha]]-crimenes_cordoba_ampliado[[#This Row],[Fecha Nac. Víctima]])/365)</f>
        <v>64</v>
      </c>
      <c r="R93" s="7" t="str">
        <f>_xlfn.XLOOKUP(crimenes_cordoba_ampliado[[#This Row],[EDAD VICTIMA]],'Rango etareo'!$A$2:$A$25,'Rango etareo'!$B$2:$B$25,,-1)</f>
        <v>56 - 65</v>
      </c>
      <c r="S93" s="3" t="s">
        <v>22</v>
      </c>
      <c r="T93" s="3" t="str">
        <f>IF(crimenes_cordoba_ampliado[[#This Row],[Género Víctima]]="Masculino","🚹","🚺")</f>
        <v>🚹</v>
      </c>
      <c r="U93">
        <v>1</v>
      </c>
      <c r="V93" s="3" t="s">
        <v>25</v>
      </c>
      <c r="W93" s="3" t="s">
        <v>63</v>
      </c>
      <c r="X93" s="3" t="s">
        <v>24</v>
      </c>
      <c r="Y93" s="3" t="s">
        <v>64</v>
      </c>
      <c r="Z93" s="3" t="s">
        <v>23</v>
      </c>
      <c r="AA93" s="3" t="s">
        <v>25</v>
      </c>
      <c r="AB93" s="3" t="str">
        <f>IF(crimenes_cordoba_ampliado[[#This Row],[Hubo Arresto]]="Sí", "Resuelto", "Pendiente")</f>
        <v>Pendiente</v>
      </c>
      <c r="AC93" s="3" t="s">
        <v>24</v>
      </c>
      <c r="AD93" s="3"/>
    </row>
    <row r="94" spans="1:30" x14ac:dyDescent="0.25">
      <c r="A94">
        <v>462</v>
      </c>
      <c r="B94" s="1">
        <v>42402</v>
      </c>
      <c r="C94" s="33">
        <f t="shared" si="2"/>
        <v>42402</v>
      </c>
      <c r="D94" s="34">
        <f t="shared" si="3"/>
        <v>42402</v>
      </c>
      <c r="E94" s="35" t="s">
        <v>1453</v>
      </c>
      <c r="F94" s="2">
        <v>0.98333333333333328</v>
      </c>
      <c r="G94" s="3" t="s">
        <v>48</v>
      </c>
      <c r="H94" s="3" t="s">
        <v>70</v>
      </c>
      <c r="I94" s="25" t="str">
        <f>VLOOKUP(H94,Tabla5[#All],4,FALSE)</f>
        <v>-31,3759272890294, -64,2284587792478</v>
      </c>
      <c r="J94" s="1">
        <v>33469</v>
      </c>
      <c r="K94" s="7">
        <f>INT((crimenes_cordoba_ampliado[[#This Row],[Fecha]]-crimenes_cordoba_ampliado[[#This Row],[Fecha Nac. Delincuente]])/365)</f>
        <v>24</v>
      </c>
      <c r="L94" s="7" t="str">
        <f>_xlfn.XLOOKUP(crimenes_cordoba_ampliado[[#This Row],[EDAD DELINCUENTE]],'Rango etareo'!$A$10:$A$25,'Rango etareo'!$B$10:$B$25,,-1)</f>
        <v>18 - 25</v>
      </c>
      <c r="M94" s="3" t="s">
        <v>22</v>
      </c>
      <c r="N94" s="3" t="str">
        <f>IF(crimenes_cordoba_ampliado[[#This Row],[Género Delincuente]]="Femenino","🚺","🚹")</f>
        <v>🚹</v>
      </c>
      <c r="O94">
        <v>3</v>
      </c>
      <c r="P94" s="1">
        <v>40021</v>
      </c>
      <c r="Q94" s="7">
        <f>INT((crimenes_cordoba_ampliado[[#This Row],[Fecha]]-crimenes_cordoba_ampliado[[#This Row],[Fecha Nac. Víctima]])/365)</f>
        <v>6</v>
      </c>
      <c r="R94" s="7" t="str">
        <f>_xlfn.XLOOKUP(crimenes_cordoba_ampliado[[#This Row],[EDAD VICTIMA]],'Rango etareo'!$A$2:$A$25,'Rango etareo'!$B$2:$B$25,,-1)</f>
        <v>&lt;=17</v>
      </c>
      <c r="S94" s="3" t="s">
        <v>22</v>
      </c>
      <c r="T94" s="3" t="str">
        <f>IF(crimenes_cordoba_ampliado[[#This Row],[Género Víctima]]="Masculino","🚹","🚺")</f>
        <v>🚹</v>
      </c>
      <c r="U94">
        <v>2</v>
      </c>
      <c r="V94" s="3" t="s">
        <v>25</v>
      </c>
      <c r="W94" s="3" t="s">
        <v>24</v>
      </c>
      <c r="X94" s="3" t="s">
        <v>29</v>
      </c>
      <c r="Y94" s="3" t="s">
        <v>24</v>
      </c>
      <c r="Z94" s="3" t="s">
        <v>25</v>
      </c>
      <c r="AA94" s="3" t="s">
        <v>25</v>
      </c>
      <c r="AB94" s="3" t="str">
        <f>IF(crimenes_cordoba_ampliado[[#This Row],[Hubo Arresto]]="Sí", "Resuelto", "Pendiente")</f>
        <v>Pendiente</v>
      </c>
      <c r="AC94" s="3" t="s">
        <v>24</v>
      </c>
      <c r="AD94" s="3"/>
    </row>
    <row r="95" spans="1:30" x14ac:dyDescent="0.25">
      <c r="A95">
        <v>270</v>
      </c>
      <c r="B95" s="1">
        <v>42403</v>
      </c>
      <c r="C95" s="33">
        <f t="shared" si="2"/>
        <v>42403</v>
      </c>
      <c r="D95" s="34">
        <f t="shared" si="3"/>
        <v>42403</v>
      </c>
      <c r="E95" s="35" t="s">
        <v>1450</v>
      </c>
      <c r="F95" s="2">
        <v>0.7368055555555556</v>
      </c>
      <c r="G95" s="3" t="s">
        <v>45</v>
      </c>
      <c r="H95" s="3" t="s">
        <v>60</v>
      </c>
      <c r="I95" s="25" t="str">
        <f>VLOOKUP(H95,Tabla5[#All],4,FALSE)</f>
        <v>-31,4076397196409, -64,2020170430678</v>
      </c>
      <c r="J95" s="1">
        <v>38954</v>
      </c>
      <c r="K95" s="7">
        <f>INT((crimenes_cordoba_ampliado[[#This Row],[Fecha]]-crimenes_cordoba_ampliado[[#This Row],[Fecha Nac. Delincuente]])/365)</f>
        <v>9</v>
      </c>
      <c r="L95" s="7" t="str">
        <f>_xlfn.XLOOKUP(crimenes_cordoba_ampliado[[#This Row],[EDAD DELINCUENTE]],'Rango etareo'!$A$10:$A$25,'Rango etareo'!$B$10:$B$25,,-1)</f>
        <v>&lt;=17</v>
      </c>
      <c r="M95" s="3" t="s">
        <v>21</v>
      </c>
      <c r="N95" s="3" t="str">
        <f>IF(crimenes_cordoba_ampliado[[#This Row],[Género Delincuente]]="Femenino","🚺","🚹")</f>
        <v>🚺</v>
      </c>
      <c r="O95">
        <v>1</v>
      </c>
      <c r="P95" s="1">
        <v>27364</v>
      </c>
      <c r="Q95" s="7">
        <f>INT((crimenes_cordoba_ampliado[[#This Row],[Fecha]]-crimenes_cordoba_ampliado[[#This Row],[Fecha Nac. Víctima]])/365)</f>
        <v>41</v>
      </c>
      <c r="R95" s="7" t="str">
        <f>_xlfn.XLOOKUP(crimenes_cordoba_ampliado[[#This Row],[EDAD VICTIMA]],'Rango etareo'!$A$2:$A$25,'Rango etareo'!$B$2:$B$25,,-1)</f>
        <v>36 - 45</v>
      </c>
      <c r="S95" s="3" t="s">
        <v>22</v>
      </c>
      <c r="T95" s="3" t="str">
        <f>IF(crimenes_cordoba_ampliado[[#This Row],[Género Víctima]]="Masculino","🚹","🚺")</f>
        <v>🚹</v>
      </c>
      <c r="U95">
        <v>2</v>
      </c>
      <c r="V95" s="3" t="s">
        <v>25</v>
      </c>
      <c r="W95" s="3" t="s">
        <v>24</v>
      </c>
      <c r="X95" s="3" t="s">
        <v>24</v>
      </c>
      <c r="Y95" s="3" t="s">
        <v>39</v>
      </c>
      <c r="Z95" s="3" t="s">
        <v>25</v>
      </c>
      <c r="AA95" s="3" t="s">
        <v>25</v>
      </c>
      <c r="AB95" s="3" t="str">
        <f>IF(crimenes_cordoba_ampliado[[#This Row],[Hubo Arresto]]="Sí", "Resuelto", "Pendiente")</f>
        <v>Pendiente</v>
      </c>
      <c r="AC95" s="3" t="s">
        <v>24</v>
      </c>
      <c r="AD95" s="3"/>
    </row>
    <row r="96" spans="1:30" x14ac:dyDescent="0.25">
      <c r="A96">
        <v>738</v>
      </c>
      <c r="B96" s="1">
        <v>42408</v>
      </c>
      <c r="C96" s="33">
        <f t="shared" si="2"/>
        <v>42408</v>
      </c>
      <c r="D96" s="34">
        <f t="shared" si="3"/>
        <v>42408</v>
      </c>
      <c r="E96" s="35" t="s">
        <v>1452</v>
      </c>
      <c r="F96" s="2">
        <v>0.89861111111111114</v>
      </c>
      <c r="G96" s="3" t="s">
        <v>81</v>
      </c>
      <c r="H96" s="3" t="s">
        <v>28</v>
      </c>
      <c r="I96" s="25" t="str">
        <f>VLOOKUP(H96,Tabla5[#All],4,FALSE)</f>
        <v>-31,4129883640337, -64,1681120522587</v>
      </c>
      <c r="J96" s="1">
        <v>23328</v>
      </c>
      <c r="K96" s="7">
        <f>INT((crimenes_cordoba_ampliado[[#This Row],[Fecha]]-crimenes_cordoba_ampliado[[#This Row],[Fecha Nac. Delincuente]])/365)</f>
        <v>52</v>
      </c>
      <c r="L96" s="7" t="str">
        <f>_xlfn.XLOOKUP(crimenes_cordoba_ampliado[[#This Row],[EDAD DELINCUENTE]],'Rango etareo'!$A$10:$A$25,'Rango etareo'!$B$10:$B$25,,-1)</f>
        <v>46 - 55</v>
      </c>
      <c r="M96" s="3" t="s">
        <v>22</v>
      </c>
      <c r="N96" s="3" t="str">
        <f>IF(crimenes_cordoba_ampliado[[#This Row],[Género Delincuente]]="Femenino","🚺","🚹")</f>
        <v>🚹</v>
      </c>
      <c r="O96">
        <v>4</v>
      </c>
      <c r="P96" s="1">
        <v>24937</v>
      </c>
      <c r="Q96" s="7">
        <f>INT((crimenes_cordoba_ampliado[[#This Row],[Fecha]]-crimenes_cordoba_ampliado[[#This Row],[Fecha Nac. Víctima]])/365)</f>
        <v>47</v>
      </c>
      <c r="R96" s="7" t="str">
        <f>_xlfn.XLOOKUP(crimenes_cordoba_ampliado[[#This Row],[EDAD VICTIMA]],'Rango etareo'!$A$2:$A$25,'Rango etareo'!$B$2:$B$25,,-1)</f>
        <v>46 - 55</v>
      </c>
      <c r="S96" s="3" t="s">
        <v>22</v>
      </c>
      <c r="T96" s="3" t="str">
        <f>IF(crimenes_cordoba_ampliado[[#This Row],[Género Víctima]]="Masculino","🚹","🚺")</f>
        <v>🚹</v>
      </c>
      <c r="U96">
        <v>1</v>
      </c>
      <c r="V96" s="3" t="s">
        <v>25</v>
      </c>
      <c r="W96" s="3" t="s">
        <v>36</v>
      </c>
      <c r="X96" s="3" t="s">
        <v>24</v>
      </c>
      <c r="Y96" s="3" t="s">
        <v>64</v>
      </c>
      <c r="Z96" s="3" t="s">
        <v>23</v>
      </c>
      <c r="AA96" s="3" t="s">
        <v>25</v>
      </c>
      <c r="AB96" s="3" t="str">
        <f>IF(crimenes_cordoba_ampliado[[#This Row],[Hubo Arresto]]="Sí", "Resuelto", "Pendiente")</f>
        <v>Pendiente</v>
      </c>
      <c r="AC96" s="3" t="s">
        <v>24</v>
      </c>
      <c r="AD96" s="3"/>
    </row>
    <row r="97" spans="1:30" x14ac:dyDescent="0.25">
      <c r="A97">
        <v>97</v>
      </c>
      <c r="B97" s="1">
        <v>44785</v>
      </c>
      <c r="C97" s="33">
        <f t="shared" si="2"/>
        <v>44785</v>
      </c>
      <c r="D97" s="34">
        <f t="shared" si="3"/>
        <v>44785</v>
      </c>
      <c r="E97" s="35" t="s">
        <v>1455</v>
      </c>
      <c r="F97" s="2">
        <v>0.80833333333333335</v>
      </c>
      <c r="G97" s="3" t="s">
        <v>42</v>
      </c>
      <c r="H97" s="3" t="s">
        <v>60</v>
      </c>
      <c r="I97" s="25" t="str">
        <f>VLOOKUP(H97,Tabla5[#All],4,FALSE)</f>
        <v>-31,4076397196409, -64,2020170430678</v>
      </c>
      <c r="J97" s="1">
        <v>30796</v>
      </c>
      <c r="K97" s="7">
        <f>INT((crimenes_cordoba_ampliado[[#This Row],[Fecha]]-crimenes_cordoba_ampliado[[#This Row],[Fecha Nac. Delincuente]])/365)</f>
        <v>38</v>
      </c>
      <c r="L97" s="7" t="str">
        <f>_xlfn.XLOOKUP(crimenes_cordoba_ampliado[[#This Row],[EDAD DELINCUENTE]],'Rango etareo'!$A$10:$A$25,'Rango etareo'!$B$10:$B$25,,-1)</f>
        <v>36 - 45</v>
      </c>
      <c r="M97" s="3" t="s">
        <v>22</v>
      </c>
      <c r="N97" s="3" t="str">
        <f>IF(crimenes_cordoba_ampliado[[#This Row],[Género Delincuente]]="Femenino","🚺","🚹")</f>
        <v>🚹</v>
      </c>
      <c r="O97">
        <v>4</v>
      </c>
      <c r="P97" s="1">
        <v>17577</v>
      </c>
      <c r="Q97" s="7">
        <f>INT((crimenes_cordoba_ampliado[[#This Row],[Fecha]]-crimenes_cordoba_ampliado[[#This Row],[Fecha Nac. Víctima]])/365)</f>
        <v>74</v>
      </c>
      <c r="R97" s="7" t="str">
        <f>_xlfn.XLOOKUP(crimenes_cordoba_ampliado[[#This Row],[EDAD VICTIMA]],'Rango etareo'!$A$2:$A$25,'Rango etareo'!$B$2:$B$25,,-1)</f>
        <v>&gt;65</v>
      </c>
      <c r="S97" s="3" t="s">
        <v>22</v>
      </c>
      <c r="T97" s="3" t="str">
        <f>IF(crimenes_cordoba_ampliado[[#This Row],[Género Víctima]]="Masculino","🚹","🚺")</f>
        <v>🚹</v>
      </c>
      <c r="U97">
        <v>1</v>
      </c>
      <c r="V97" s="3" t="s">
        <v>23</v>
      </c>
      <c r="W97" s="3" t="s">
        <v>24</v>
      </c>
      <c r="X97" s="3" t="s">
        <v>24</v>
      </c>
      <c r="Y97" s="3" t="s">
        <v>33</v>
      </c>
      <c r="Z97" s="3" t="s">
        <v>23</v>
      </c>
      <c r="AA97" s="3" t="s">
        <v>25</v>
      </c>
      <c r="AB97" s="3" t="str">
        <f>IF(crimenes_cordoba_ampliado[[#This Row],[Hubo Arresto]]="Sí", "Resuelto", "Pendiente")</f>
        <v>Resuelto</v>
      </c>
      <c r="AC97" s="3" t="s">
        <v>119</v>
      </c>
      <c r="AD97" s="3"/>
    </row>
    <row r="98" spans="1:30" x14ac:dyDescent="0.25">
      <c r="A98">
        <v>307</v>
      </c>
      <c r="B98" s="1">
        <v>42418</v>
      </c>
      <c r="C98" s="33">
        <f t="shared" si="2"/>
        <v>42418</v>
      </c>
      <c r="D98" s="34">
        <f t="shared" si="3"/>
        <v>42418</v>
      </c>
      <c r="E98" s="35" t="s">
        <v>1454</v>
      </c>
      <c r="F98" s="2">
        <v>0.55000000000000004</v>
      </c>
      <c r="G98" s="3" t="s">
        <v>35</v>
      </c>
      <c r="H98" s="3" t="s">
        <v>20</v>
      </c>
      <c r="I98" s="25" t="str">
        <f>VLOOKUP(H98,Tabla5[#All],4,FALSE)</f>
        <v>-31,4800162965848, -64,2094200976892</v>
      </c>
      <c r="J98" s="1">
        <v>33070</v>
      </c>
      <c r="K98" s="7">
        <f>INT((crimenes_cordoba_ampliado[[#This Row],[Fecha]]-crimenes_cordoba_ampliado[[#This Row],[Fecha Nac. Delincuente]])/365)</f>
        <v>25</v>
      </c>
      <c r="L98" s="7" t="str">
        <f>_xlfn.XLOOKUP(crimenes_cordoba_ampliado[[#This Row],[EDAD DELINCUENTE]],'Rango etareo'!$A$10:$A$25,'Rango etareo'!$B$10:$B$25,,-1)</f>
        <v>18 - 25</v>
      </c>
      <c r="M98" s="3" t="s">
        <v>21</v>
      </c>
      <c r="N98" s="3" t="str">
        <f>IF(crimenes_cordoba_ampliado[[#This Row],[Género Delincuente]]="Femenino","🚺","🚹")</f>
        <v>🚺</v>
      </c>
      <c r="O98">
        <v>5</v>
      </c>
      <c r="P98" s="1">
        <v>42241</v>
      </c>
      <c r="Q98" s="7">
        <f>INT((crimenes_cordoba_ampliado[[#This Row],[Fecha]]-crimenes_cordoba_ampliado[[#This Row],[Fecha Nac. Víctima]])/365)</f>
        <v>0</v>
      </c>
      <c r="R98" s="7" t="str">
        <f>_xlfn.XLOOKUP(crimenes_cordoba_ampliado[[#This Row],[EDAD VICTIMA]],'Rango etareo'!$A$2:$A$25,'Rango etareo'!$B$2:$B$25,,-1)</f>
        <v>&lt;=17</v>
      </c>
      <c r="S98" s="3" t="s">
        <v>21</v>
      </c>
      <c r="T98" s="3" t="str">
        <f>IF(crimenes_cordoba_ampliado[[#This Row],[Género Víctima]]="Masculino","🚹","🚺")</f>
        <v>🚺</v>
      </c>
      <c r="U98">
        <v>2</v>
      </c>
      <c r="V98" s="3" t="s">
        <v>25</v>
      </c>
      <c r="W98" s="3" t="s">
        <v>24</v>
      </c>
      <c r="X98" s="3" t="s">
        <v>24</v>
      </c>
      <c r="Y98" s="3" t="s">
        <v>89</v>
      </c>
      <c r="Z98" s="3" t="s">
        <v>25</v>
      </c>
      <c r="AA98" s="3" t="s">
        <v>23</v>
      </c>
      <c r="AB98" s="3" t="str">
        <f>IF(crimenes_cordoba_ampliado[[#This Row],[Hubo Arresto]]="Sí", "Resuelto", "Pendiente")</f>
        <v>Pendiente</v>
      </c>
      <c r="AC98" s="3" t="s">
        <v>24</v>
      </c>
      <c r="AD98" s="3"/>
    </row>
    <row r="99" spans="1:30" x14ac:dyDescent="0.25">
      <c r="A99">
        <v>514</v>
      </c>
      <c r="B99" s="1">
        <v>42418</v>
      </c>
      <c r="C99" s="33">
        <f t="shared" si="2"/>
        <v>42418</v>
      </c>
      <c r="D99" s="34">
        <f t="shared" si="3"/>
        <v>42418</v>
      </c>
      <c r="E99" s="35" t="s">
        <v>1454</v>
      </c>
      <c r="F99" s="2">
        <v>0.89722222222222225</v>
      </c>
      <c r="G99" s="3" t="s">
        <v>38</v>
      </c>
      <c r="H99" s="3" t="s">
        <v>62</v>
      </c>
      <c r="I99" s="25" t="str">
        <f>VLOOKUP(H99,Tabla5[#All],4,FALSE)</f>
        <v>-31,3909520937826, -64,1836424491715</v>
      </c>
      <c r="J99" s="1">
        <v>20158</v>
      </c>
      <c r="K99" s="7">
        <f>INT((crimenes_cordoba_ampliado[[#This Row],[Fecha]]-crimenes_cordoba_ampliado[[#This Row],[Fecha Nac. Delincuente]])/365)</f>
        <v>60</v>
      </c>
      <c r="L99" s="7" t="str">
        <f>_xlfn.XLOOKUP(crimenes_cordoba_ampliado[[#This Row],[EDAD DELINCUENTE]],'Rango etareo'!$A$10:$A$25,'Rango etareo'!$B$10:$B$25,,-1)</f>
        <v>56 - 65</v>
      </c>
      <c r="M99" s="3" t="s">
        <v>21</v>
      </c>
      <c r="N99" s="3" t="str">
        <f>IF(crimenes_cordoba_ampliado[[#This Row],[Género Delincuente]]="Femenino","🚺","🚹")</f>
        <v>🚺</v>
      </c>
      <c r="O99">
        <v>1</v>
      </c>
      <c r="P99" s="1">
        <v>32299</v>
      </c>
      <c r="Q99" s="7">
        <f>INT((crimenes_cordoba_ampliado[[#This Row],[Fecha]]-crimenes_cordoba_ampliado[[#This Row],[Fecha Nac. Víctima]])/365)</f>
        <v>27</v>
      </c>
      <c r="R99" s="7" t="str">
        <f>_xlfn.XLOOKUP(crimenes_cordoba_ampliado[[#This Row],[EDAD VICTIMA]],'Rango etareo'!$A$2:$A$25,'Rango etareo'!$B$2:$B$25,,-1)</f>
        <v>26 - 35</v>
      </c>
      <c r="S99" s="3" t="s">
        <v>21</v>
      </c>
      <c r="T99" s="3" t="str">
        <f>IF(crimenes_cordoba_ampliado[[#This Row],[Género Víctima]]="Masculino","🚹","🚺")</f>
        <v>🚺</v>
      </c>
      <c r="U99">
        <v>1</v>
      </c>
      <c r="V99" s="3" t="s">
        <v>25</v>
      </c>
      <c r="W99" s="3" t="s">
        <v>24</v>
      </c>
      <c r="X99" s="3" t="s">
        <v>24</v>
      </c>
      <c r="Y99" s="3" t="s">
        <v>24</v>
      </c>
      <c r="Z99" s="3" t="s">
        <v>25</v>
      </c>
      <c r="AA99" s="3" t="s">
        <v>25</v>
      </c>
      <c r="AB99" s="3" t="str">
        <f>IF(crimenes_cordoba_ampliado[[#This Row],[Hubo Arresto]]="Sí", "Resuelto", "Pendiente")</f>
        <v>Pendiente</v>
      </c>
      <c r="AC99" s="3" t="s">
        <v>24</v>
      </c>
      <c r="AD99" s="3"/>
    </row>
    <row r="100" spans="1:30" x14ac:dyDescent="0.25">
      <c r="A100">
        <v>98</v>
      </c>
      <c r="B100" s="1">
        <v>42148</v>
      </c>
      <c r="C100" s="33">
        <f t="shared" si="2"/>
        <v>42148</v>
      </c>
      <c r="D100" s="34">
        <f t="shared" si="3"/>
        <v>42148</v>
      </c>
      <c r="E100" s="35" t="s">
        <v>1449</v>
      </c>
      <c r="F100" s="2">
        <v>0.77638888888888891</v>
      </c>
      <c r="G100" s="3" t="s">
        <v>42</v>
      </c>
      <c r="H100" s="3" t="s">
        <v>60</v>
      </c>
      <c r="I100" s="25" t="str">
        <f>VLOOKUP(H100,Tabla5[#All],4,FALSE)</f>
        <v>-31,4076397196409, -64,2020170430678</v>
      </c>
      <c r="J100" s="1">
        <v>31093</v>
      </c>
      <c r="K100" s="7">
        <f>INT((crimenes_cordoba_ampliado[[#This Row],[Fecha]]-crimenes_cordoba_ampliado[[#This Row],[Fecha Nac. Delincuente]])/365)</f>
        <v>30</v>
      </c>
      <c r="L100" s="7" t="str">
        <f>_xlfn.XLOOKUP(crimenes_cordoba_ampliado[[#This Row],[EDAD DELINCUENTE]],'Rango etareo'!$A$10:$A$25,'Rango etareo'!$B$10:$B$25,,-1)</f>
        <v>26 - 35</v>
      </c>
      <c r="M100" s="3" t="s">
        <v>22</v>
      </c>
      <c r="N100" s="3" t="str">
        <f>IF(crimenes_cordoba_ampliado[[#This Row],[Género Delincuente]]="Femenino","🚺","🚹")</f>
        <v>🚹</v>
      </c>
      <c r="O100">
        <v>1</v>
      </c>
      <c r="P100" s="1">
        <v>38018</v>
      </c>
      <c r="Q100" s="7">
        <f>INT((crimenes_cordoba_ampliado[[#This Row],[Fecha]]-crimenes_cordoba_ampliado[[#This Row],[Fecha Nac. Víctima]])/365)</f>
        <v>11</v>
      </c>
      <c r="R100" s="7" t="str">
        <f>_xlfn.XLOOKUP(crimenes_cordoba_ampliado[[#This Row],[EDAD VICTIMA]],'Rango etareo'!$A$2:$A$25,'Rango etareo'!$B$2:$B$25,,-1)</f>
        <v>&lt;=17</v>
      </c>
      <c r="S100" s="3" t="s">
        <v>21</v>
      </c>
      <c r="T100" s="3" t="str">
        <f>IF(crimenes_cordoba_ampliado[[#This Row],[Género Víctima]]="Masculino","🚹","🚺")</f>
        <v>🚺</v>
      </c>
      <c r="U100">
        <v>1</v>
      </c>
      <c r="V100" s="3" t="s">
        <v>23</v>
      </c>
      <c r="W100" s="3" t="s">
        <v>24</v>
      </c>
      <c r="X100" s="3" t="s">
        <v>24</v>
      </c>
      <c r="Y100" s="3" t="s">
        <v>113</v>
      </c>
      <c r="Z100" s="3" t="s">
        <v>23</v>
      </c>
      <c r="AA100" s="3" t="s">
        <v>23</v>
      </c>
      <c r="AB100" s="3" t="str">
        <f>IF(crimenes_cordoba_ampliado[[#This Row],[Hubo Arresto]]="Sí", "Resuelto", "Pendiente")</f>
        <v>Resuelto</v>
      </c>
      <c r="AC100" s="3" t="s">
        <v>120</v>
      </c>
      <c r="AD100" s="3"/>
    </row>
    <row r="101" spans="1:30" x14ac:dyDescent="0.25">
      <c r="A101">
        <v>101</v>
      </c>
      <c r="B101" s="1">
        <v>43586</v>
      </c>
      <c r="C101" s="33">
        <f t="shared" si="2"/>
        <v>43586</v>
      </c>
      <c r="D101" s="34">
        <f t="shared" si="3"/>
        <v>43586</v>
      </c>
      <c r="E101" s="35" t="s">
        <v>1450</v>
      </c>
      <c r="F101" s="2">
        <v>0.99305555555555558</v>
      </c>
      <c r="G101" s="3" t="s">
        <v>35</v>
      </c>
      <c r="H101" s="3" t="s">
        <v>52</v>
      </c>
      <c r="I101" s="25" t="str">
        <f>VLOOKUP(H101,Tabla5[#All],4,FALSE)</f>
        <v>-31,3477902896523, -64,2644406169297</v>
      </c>
      <c r="J101" s="1">
        <v>33997</v>
      </c>
      <c r="K101" s="7">
        <f>INT((crimenes_cordoba_ampliado[[#This Row],[Fecha]]-crimenes_cordoba_ampliado[[#This Row],[Fecha Nac. Delincuente]])/365)</f>
        <v>26</v>
      </c>
      <c r="L101" s="7" t="str">
        <f>_xlfn.XLOOKUP(crimenes_cordoba_ampliado[[#This Row],[EDAD DELINCUENTE]],'Rango etareo'!$A$10:$A$25,'Rango etareo'!$B$10:$B$25,,-1)</f>
        <v>26 - 35</v>
      </c>
      <c r="M101" s="3" t="s">
        <v>22</v>
      </c>
      <c r="N101" s="3" t="str">
        <f>IF(crimenes_cordoba_ampliado[[#This Row],[Género Delincuente]]="Femenino","🚺","🚹")</f>
        <v>🚹</v>
      </c>
      <c r="O101">
        <v>4</v>
      </c>
      <c r="P101" s="1">
        <v>37169</v>
      </c>
      <c r="Q101" s="7">
        <f>INT((crimenes_cordoba_ampliado[[#This Row],[Fecha]]-crimenes_cordoba_ampliado[[#This Row],[Fecha Nac. Víctima]])/365)</f>
        <v>17</v>
      </c>
      <c r="R101" s="7" t="str">
        <f>_xlfn.XLOOKUP(crimenes_cordoba_ampliado[[#This Row],[EDAD VICTIMA]],'Rango etareo'!$A$2:$A$25,'Rango etareo'!$B$2:$B$25,,-1)</f>
        <v>&lt;=17</v>
      </c>
      <c r="S101" s="3" t="s">
        <v>21</v>
      </c>
      <c r="T101" s="3" t="str">
        <f>IF(crimenes_cordoba_ampliado[[#This Row],[Género Víctima]]="Masculino","🚹","🚺")</f>
        <v>🚺</v>
      </c>
      <c r="U101">
        <v>3</v>
      </c>
      <c r="V101" s="3" t="s">
        <v>23</v>
      </c>
      <c r="W101" s="3" t="s">
        <v>24</v>
      </c>
      <c r="X101" s="3" t="s">
        <v>24</v>
      </c>
      <c r="Y101" s="3" t="s">
        <v>46</v>
      </c>
      <c r="Z101" s="3" t="s">
        <v>23</v>
      </c>
      <c r="AA101" s="3" t="s">
        <v>23</v>
      </c>
      <c r="AB101" s="3" t="str">
        <f>IF(crimenes_cordoba_ampliado[[#This Row],[Hubo Arresto]]="Sí", "Resuelto", "Pendiente")</f>
        <v>Resuelto</v>
      </c>
      <c r="AC101" s="3" t="s">
        <v>121</v>
      </c>
      <c r="AD101" s="3"/>
    </row>
    <row r="102" spans="1:30" x14ac:dyDescent="0.25">
      <c r="A102">
        <v>104</v>
      </c>
      <c r="B102" s="1">
        <v>42639</v>
      </c>
      <c r="C102" s="33">
        <f t="shared" si="2"/>
        <v>42639</v>
      </c>
      <c r="D102" s="34">
        <f t="shared" si="3"/>
        <v>42639</v>
      </c>
      <c r="E102" s="35" t="s">
        <v>1452</v>
      </c>
      <c r="F102" s="2">
        <v>0.74861111111111112</v>
      </c>
      <c r="G102" s="3" t="s">
        <v>45</v>
      </c>
      <c r="H102" s="3" t="s">
        <v>52</v>
      </c>
      <c r="I102" s="25" t="str">
        <f>VLOOKUP(H102,Tabla5[#All],4,FALSE)</f>
        <v>-31,3477902896523, -64,2644406169297</v>
      </c>
      <c r="J102" s="1">
        <v>33609</v>
      </c>
      <c r="K102" s="7">
        <f>INT((crimenes_cordoba_ampliado[[#This Row],[Fecha]]-crimenes_cordoba_ampliado[[#This Row],[Fecha Nac. Delincuente]])/365)</f>
        <v>24</v>
      </c>
      <c r="L102" s="7" t="str">
        <f>_xlfn.XLOOKUP(crimenes_cordoba_ampliado[[#This Row],[EDAD DELINCUENTE]],'Rango etareo'!$A$10:$A$25,'Rango etareo'!$B$10:$B$25,,-1)</f>
        <v>18 - 25</v>
      </c>
      <c r="M102" s="3" t="s">
        <v>21</v>
      </c>
      <c r="N102" s="3" t="str">
        <f>IF(crimenes_cordoba_ampliado[[#This Row],[Género Delincuente]]="Femenino","🚺","🚹")</f>
        <v>🚺</v>
      </c>
      <c r="O102">
        <v>4</v>
      </c>
      <c r="P102" s="1">
        <v>36008</v>
      </c>
      <c r="Q102" s="7">
        <f>INT((crimenes_cordoba_ampliado[[#This Row],[Fecha]]-crimenes_cordoba_ampliado[[#This Row],[Fecha Nac. Víctima]])/365)</f>
        <v>18</v>
      </c>
      <c r="R102" s="7" t="str">
        <f>_xlfn.XLOOKUP(crimenes_cordoba_ampliado[[#This Row],[EDAD VICTIMA]],'Rango etareo'!$A$2:$A$25,'Rango etareo'!$B$2:$B$25,,-1)</f>
        <v>18 - 25</v>
      </c>
      <c r="S102" s="3" t="s">
        <v>21</v>
      </c>
      <c r="T102" s="3" t="str">
        <f>IF(crimenes_cordoba_ampliado[[#This Row],[Género Víctima]]="Masculino","🚹","🚺")</f>
        <v>🚺</v>
      </c>
      <c r="U102">
        <v>1</v>
      </c>
      <c r="V102" s="3" t="s">
        <v>23</v>
      </c>
      <c r="W102" s="3" t="s">
        <v>24</v>
      </c>
      <c r="X102" s="3" t="s">
        <v>24</v>
      </c>
      <c r="Y102" s="3" t="s">
        <v>69</v>
      </c>
      <c r="Z102" s="3" t="s">
        <v>25</v>
      </c>
      <c r="AA102" s="3" t="s">
        <v>25</v>
      </c>
      <c r="AB102" s="3" t="str">
        <f>IF(crimenes_cordoba_ampliado[[#This Row],[Hubo Arresto]]="Sí", "Resuelto", "Pendiente")</f>
        <v>Resuelto</v>
      </c>
      <c r="AC102" s="3" t="s">
        <v>122</v>
      </c>
      <c r="AD102" s="3"/>
    </row>
    <row r="103" spans="1:30" x14ac:dyDescent="0.25">
      <c r="A103">
        <v>105</v>
      </c>
      <c r="B103" s="1">
        <v>43968</v>
      </c>
      <c r="C103" s="33">
        <f t="shared" si="2"/>
        <v>43968</v>
      </c>
      <c r="D103" s="34">
        <f t="shared" si="3"/>
        <v>43968</v>
      </c>
      <c r="E103" s="35" t="s">
        <v>1449</v>
      </c>
      <c r="F103" s="2">
        <v>0.46388888888888891</v>
      </c>
      <c r="G103" s="3" t="s">
        <v>48</v>
      </c>
      <c r="H103" s="3" t="s">
        <v>55</v>
      </c>
      <c r="I103" s="25" t="str">
        <f>VLOOKUP(H103,Tabla5[#All],4,FALSE)</f>
        <v>-31,4015892433235, -64,160442876477</v>
      </c>
      <c r="J103" s="1">
        <v>37692</v>
      </c>
      <c r="K103" s="7">
        <f>INT((crimenes_cordoba_ampliado[[#This Row],[Fecha]]-crimenes_cordoba_ampliado[[#This Row],[Fecha Nac. Delincuente]])/365)</f>
        <v>17</v>
      </c>
      <c r="L103" s="7" t="str">
        <f>_xlfn.XLOOKUP(crimenes_cordoba_ampliado[[#This Row],[EDAD DELINCUENTE]],'Rango etareo'!$A$10:$A$25,'Rango etareo'!$B$10:$B$25,,-1)</f>
        <v>&lt;=17</v>
      </c>
      <c r="M103" s="3" t="s">
        <v>22</v>
      </c>
      <c r="N103" s="3" t="str">
        <f>IF(crimenes_cordoba_ampliado[[#This Row],[Género Delincuente]]="Femenino","🚺","🚹")</f>
        <v>🚹</v>
      </c>
      <c r="O103">
        <v>4</v>
      </c>
      <c r="P103" s="1">
        <v>26715</v>
      </c>
      <c r="Q103" s="7">
        <f>INT((crimenes_cordoba_ampliado[[#This Row],[Fecha]]-crimenes_cordoba_ampliado[[#This Row],[Fecha Nac. Víctima]])/365)</f>
        <v>47</v>
      </c>
      <c r="R103" s="7" t="str">
        <f>_xlfn.XLOOKUP(crimenes_cordoba_ampliado[[#This Row],[EDAD VICTIMA]],'Rango etareo'!$A$2:$A$25,'Rango etareo'!$B$2:$B$25,,-1)</f>
        <v>46 - 55</v>
      </c>
      <c r="S103" s="3" t="s">
        <v>21</v>
      </c>
      <c r="T103" s="3" t="str">
        <f>IF(crimenes_cordoba_ampliado[[#This Row],[Género Víctima]]="Masculino","🚹","🚺")</f>
        <v>🚺</v>
      </c>
      <c r="U103">
        <v>3</v>
      </c>
      <c r="V103" s="3" t="s">
        <v>23</v>
      </c>
      <c r="W103" s="3" t="s">
        <v>24</v>
      </c>
      <c r="X103" s="3" t="s">
        <v>24</v>
      </c>
      <c r="Y103" s="3" t="s">
        <v>43</v>
      </c>
      <c r="Z103" s="3" t="s">
        <v>23</v>
      </c>
      <c r="AA103" s="3" t="s">
        <v>25</v>
      </c>
      <c r="AB103" s="3" t="str">
        <f>IF(crimenes_cordoba_ampliado[[#This Row],[Hubo Arresto]]="Sí", "Resuelto", "Pendiente")</f>
        <v>Resuelto</v>
      </c>
      <c r="AC103" s="3" t="s">
        <v>123</v>
      </c>
      <c r="AD103" s="3"/>
    </row>
    <row r="104" spans="1:30" x14ac:dyDescent="0.25">
      <c r="A104">
        <v>667</v>
      </c>
      <c r="B104" s="1">
        <v>42439</v>
      </c>
      <c r="C104" s="33">
        <f t="shared" si="2"/>
        <v>42439</v>
      </c>
      <c r="D104" s="34">
        <f t="shared" si="3"/>
        <v>42439</v>
      </c>
      <c r="E104" s="35" t="s">
        <v>1454</v>
      </c>
      <c r="F104" s="2">
        <v>0.55555555555555558</v>
      </c>
      <c r="G104" s="3" t="s">
        <v>27</v>
      </c>
      <c r="H104" s="3" t="s">
        <v>65</v>
      </c>
      <c r="I104" s="25" t="str">
        <f>VLOOKUP(H104,Tabla5[#All],4,FALSE)</f>
        <v>-31,4285567311661, -64,1853198281007</v>
      </c>
      <c r="J104" s="1">
        <v>29107</v>
      </c>
      <c r="K104" s="7">
        <f>INT((crimenes_cordoba_ampliado[[#This Row],[Fecha]]-crimenes_cordoba_ampliado[[#This Row],[Fecha Nac. Delincuente]])/365)</f>
        <v>36</v>
      </c>
      <c r="L104" s="7" t="str">
        <f>_xlfn.XLOOKUP(crimenes_cordoba_ampliado[[#This Row],[EDAD DELINCUENTE]],'Rango etareo'!$A$10:$A$25,'Rango etareo'!$B$10:$B$25,,-1)</f>
        <v>36 - 45</v>
      </c>
      <c r="M104" s="3" t="s">
        <v>22</v>
      </c>
      <c r="N104" s="3" t="str">
        <f>IF(crimenes_cordoba_ampliado[[#This Row],[Género Delincuente]]="Femenino","🚺","🚹")</f>
        <v>🚹</v>
      </c>
      <c r="O104">
        <v>4</v>
      </c>
      <c r="P104" s="1">
        <v>42272</v>
      </c>
      <c r="Q104" s="7">
        <f>INT((crimenes_cordoba_ampliado[[#This Row],[Fecha]]-crimenes_cordoba_ampliado[[#This Row],[Fecha Nac. Víctima]])/365)</f>
        <v>0</v>
      </c>
      <c r="R104" s="7" t="str">
        <f>_xlfn.XLOOKUP(crimenes_cordoba_ampliado[[#This Row],[EDAD VICTIMA]],'Rango etareo'!$A$2:$A$25,'Rango etareo'!$B$2:$B$25,,-1)</f>
        <v>&lt;=17</v>
      </c>
      <c r="S104" s="3" t="s">
        <v>21</v>
      </c>
      <c r="T104" s="3" t="str">
        <f>IF(crimenes_cordoba_ampliado[[#This Row],[Género Víctima]]="Masculino","🚹","🚺")</f>
        <v>🚺</v>
      </c>
      <c r="U104">
        <v>1</v>
      </c>
      <c r="V104" s="3" t="s">
        <v>25</v>
      </c>
      <c r="W104" s="3" t="s">
        <v>24</v>
      </c>
      <c r="X104" s="3" t="s">
        <v>24</v>
      </c>
      <c r="Y104" s="3" t="s">
        <v>24</v>
      </c>
      <c r="Z104" s="3" t="s">
        <v>23</v>
      </c>
      <c r="AA104" s="3" t="s">
        <v>25</v>
      </c>
      <c r="AB104" s="3" t="str">
        <f>IF(crimenes_cordoba_ampliado[[#This Row],[Hubo Arresto]]="Sí", "Resuelto", "Pendiente")</f>
        <v>Pendiente</v>
      </c>
      <c r="AC104" s="3" t="s">
        <v>24</v>
      </c>
      <c r="AD104" s="3"/>
    </row>
    <row r="105" spans="1:30" x14ac:dyDescent="0.25">
      <c r="A105">
        <v>669</v>
      </c>
      <c r="B105" s="1">
        <v>42445</v>
      </c>
      <c r="C105" s="33">
        <f t="shared" si="2"/>
        <v>42445</v>
      </c>
      <c r="D105" s="34">
        <f t="shared" si="3"/>
        <v>42445</v>
      </c>
      <c r="E105" s="35" t="s">
        <v>1450</v>
      </c>
      <c r="F105" s="2">
        <v>0.70625000000000004</v>
      </c>
      <c r="G105" s="3" t="s">
        <v>54</v>
      </c>
      <c r="H105" s="3" t="s">
        <v>62</v>
      </c>
      <c r="I105" s="25" t="str">
        <f>VLOOKUP(H105,Tabla5[#All],4,FALSE)</f>
        <v>-31,3909520937826, -64,1836424491715</v>
      </c>
      <c r="J105" s="1">
        <v>22616</v>
      </c>
      <c r="K105" s="7">
        <f>INT((crimenes_cordoba_ampliado[[#This Row],[Fecha]]-crimenes_cordoba_ampliado[[#This Row],[Fecha Nac. Delincuente]])/365)</f>
        <v>54</v>
      </c>
      <c r="L105" s="7" t="str">
        <f>_xlfn.XLOOKUP(crimenes_cordoba_ampliado[[#This Row],[EDAD DELINCUENTE]],'Rango etareo'!$A$10:$A$25,'Rango etareo'!$B$10:$B$25,,-1)</f>
        <v>46 - 55</v>
      </c>
      <c r="M105" s="3" t="s">
        <v>21</v>
      </c>
      <c r="N105" s="3" t="str">
        <f>IF(crimenes_cordoba_ampliado[[#This Row],[Género Delincuente]]="Femenino","🚺","🚹")</f>
        <v>🚺</v>
      </c>
      <c r="O105">
        <v>5</v>
      </c>
      <c r="P105" s="1">
        <v>33068</v>
      </c>
      <c r="Q105" s="7">
        <f>INT((crimenes_cordoba_ampliado[[#This Row],[Fecha]]-crimenes_cordoba_ampliado[[#This Row],[Fecha Nac. Víctima]])/365)</f>
        <v>25</v>
      </c>
      <c r="R105" s="7" t="str">
        <f>_xlfn.XLOOKUP(crimenes_cordoba_ampliado[[#This Row],[EDAD VICTIMA]],'Rango etareo'!$A$2:$A$25,'Rango etareo'!$B$2:$B$25,,-1)</f>
        <v>18 - 25</v>
      </c>
      <c r="S105" s="3" t="s">
        <v>22</v>
      </c>
      <c r="T105" s="3" t="str">
        <f>IF(crimenes_cordoba_ampliado[[#This Row],[Género Víctima]]="Masculino","🚹","🚺")</f>
        <v>🚹</v>
      </c>
      <c r="U105">
        <v>1</v>
      </c>
      <c r="V105" s="3" t="s">
        <v>25</v>
      </c>
      <c r="W105" s="3" t="s">
        <v>24</v>
      </c>
      <c r="X105" s="3" t="s">
        <v>24</v>
      </c>
      <c r="Y105" s="3" t="s">
        <v>72</v>
      </c>
      <c r="Z105" s="3" t="s">
        <v>25</v>
      </c>
      <c r="AA105" s="3" t="s">
        <v>23</v>
      </c>
      <c r="AB105" s="3" t="str">
        <f>IF(crimenes_cordoba_ampliado[[#This Row],[Hubo Arresto]]="Sí", "Resuelto", "Pendiente")</f>
        <v>Pendiente</v>
      </c>
      <c r="AC105" s="3" t="s">
        <v>24</v>
      </c>
      <c r="AD105" s="3"/>
    </row>
    <row r="106" spans="1:30" x14ac:dyDescent="0.25">
      <c r="A106">
        <v>106</v>
      </c>
      <c r="B106" s="1">
        <v>45628</v>
      </c>
      <c r="C106" s="33">
        <f t="shared" si="2"/>
        <v>45628</v>
      </c>
      <c r="D106" s="34">
        <f t="shared" si="3"/>
        <v>45628</v>
      </c>
      <c r="E106" s="35" t="s">
        <v>1452</v>
      </c>
      <c r="F106" s="2">
        <v>0.5</v>
      </c>
      <c r="G106" s="3" t="s">
        <v>35</v>
      </c>
      <c r="H106" s="3" t="s">
        <v>60</v>
      </c>
      <c r="I106" s="25" t="str">
        <f>VLOOKUP(H106,Tabla5[#All],4,FALSE)</f>
        <v>-31,4076397196409, -64,2020170430678</v>
      </c>
      <c r="J106" s="1">
        <v>26142</v>
      </c>
      <c r="K106" s="7">
        <f>INT((crimenes_cordoba_ampliado[[#This Row],[Fecha]]-crimenes_cordoba_ampliado[[#This Row],[Fecha Nac. Delincuente]])/365)</f>
        <v>53</v>
      </c>
      <c r="L106" s="7" t="str">
        <f>_xlfn.XLOOKUP(crimenes_cordoba_ampliado[[#This Row],[EDAD DELINCUENTE]],'Rango etareo'!$A$10:$A$25,'Rango etareo'!$B$10:$B$25,,-1)</f>
        <v>46 - 55</v>
      </c>
      <c r="M106" s="3" t="s">
        <v>21</v>
      </c>
      <c r="N106" s="3" t="str">
        <f>IF(crimenes_cordoba_ampliado[[#This Row],[Género Delincuente]]="Femenino","🚺","🚹")</f>
        <v>🚺</v>
      </c>
      <c r="O106">
        <v>1</v>
      </c>
      <c r="P106" s="1">
        <v>16725</v>
      </c>
      <c r="Q106" s="7">
        <f>INT((crimenes_cordoba_ampliado[[#This Row],[Fecha]]-crimenes_cordoba_ampliado[[#This Row],[Fecha Nac. Víctima]])/365)</f>
        <v>79</v>
      </c>
      <c r="R106" s="7" t="str">
        <f>_xlfn.XLOOKUP(crimenes_cordoba_ampliado[[#This Row],[EDAD VICTIMA]],'Rango etareo'!$A$2:$A$25,'Rango etareo'!$B$2:$B$25,,-1)</f>
        <v>&gt;65</v>
      </c>
      <c r="S106" s="3" t="s">
        <v>22</v>
      </c>
      <c r="T106" s="3" t="str">
        <f>IF(crimenes_cordoba_ampliado[[#This Row],[Género Víctima]]="Masculino","🚹","🚺")</f>
        <v>🚹</v>
      </c>
      <c r="U106">
        <v>1</v>
      </c>
      <c r="V106" s="3" t="s">
        <v>23</v>
      </c>
      <c r="W106" s="3" t="s">
        <v>24</v>
      </c>
      <c r="X106" s="3" t="s">
        <v>24</v>
      </c>
      <c r="Y106" s="3" t="s">
        <v>43</v>
      </c>
      <c r="Z106" s="3" t="s">
        <v>23</v>
      </c>
      <c r="AA106" s="3" t="s">
        <v>23</v>
      </c>
      <c r="AB106" s="3" t="str">
        <f>IF(crimenes_cordoba_ampliado[[#This Row],[Hubo Arresto]]="Sí", "Resuelto", "Pendiente")</f>
        <v>Resuelto</v>
      </c>
      <c r="AC106" s="3" t="s">
        <v>124</v>
      </c>
      <c r="AD106" s="3"/>
    </row>
    <row r="107" spans="1:30" x14ac:dyDescent="0.25">
      <c r="A107">
        <v>107</v>
      </c>
      <c r="B107" s="1">
        <v>43873</v>
      </c>
      <c r="C107" s="33">
        <f t="shared" si="2"/>
        <v>43873</v>
      </c>
      <c r="D107" s="34">
        <f t="shared" si="3"/>
        <v>43873</v>
      </c>
      <c r="E107" s="35" t="s">
        <v>1450</v>
      </c>
      <c r="F107" s="2">
        <v>0.85277777777777775</v>
      </c>
      <c r="G107" s="3" t="s">
        <v>27</v>
      </c>
      <c r="H107" s="3" t="s">
        <v>28</v>
      </c>
      <c r="I107" s="25" t="str">
        <f>VLOOKUP(H107,Tabla5[#All],4,FALSE)</f>
        <v>-31,4129883640337, -64,1681120522587</v>
      </c>
      <c r="J107" s="1">
        <v>30083</v>
      </c>
      <c r="K107" s="7">
        <f>INT((crimenes_cordoba_ampliado[[#This Row],[Fecha]]-crimenes_cordoba_ampliado[[#This Row],[Fecha Nac. Delincuente]])/365)</f>
        <v>37</v>
      </c>
      <c r="L107" s="7" t="str">
        <f>_xlfn.XLOOKUP(crimenes_cordoba_ampliado[[#This Row],[EDAD DELINCUENTE]],'Rango etareo'!$A$10:$A$25,'Rango etareo'!$B$10:$B$25,,-1)</f>
        <v>36 - 45</v>
      </c>
      <c r="M107" s="3" t="s">
        <v>21</v>
      </c>
      <c r="N107" s="3" t="str">
        <f>IF(crimenes_cordoba_ampliado[[#This Row],[Género Delincuente]]="Femenino","🚺","🚹")</f>
        <v>🚺</v>
      </c>
      <c r="O107">
        <v>5</v>
      </c>
      <c r="P107" s="1">
        <v>20952</v>
      </c>
      <c r="Q107" s="7">
        <f>INT((crimenes_cordoba_ampliado[[#This Row],[Fecha]]-crimenes_cordoba_ampliado[[#This Row],[Fecha Nac. Víctima]])/365)</f>
        <v>62</v>
      </c>
      <c r="R107" s="7" t="str">
        <f>_xlfn.XLOOKUP(crimenes_cordoba_ampliado[[#This Row],[EDAD VICTIMA]],'Rango etareo'!$A$2:$A$25,'Rango etareo'!$B$2:$B$25,,-1)</f>
        <v>56 - 65</v>
      </c>
      <c r="S107" s="3" t="s">
        <v>21</v>
      </c>
      <c r="T107" s="3" t="str">
        <f>IF(crimenes_cordoba_ampliado[[#This Row],[Género Víctima]]="Masculino","🚹","🚺")</f>
        <v>🚺</v>
      </c>
      <c r="U107">
        <v>1</v>
      </c>
      <c r="V107" s="3" t="s">
        <v>23</v>
      </c>
      <c r="W107" s="3" t="s">
        <v>24</v>
      </c>
      <c r="X107" s="3" t="s">
        <v>50</v>
      </c>
      <c r="Y107" s="3" t="s">
        <v>24</v>
      </c>
      <c r="Z107" s="3" t="s">
        <v>25</v>
      </c>
      <c r="AA107" s="3" t="s">
        <v>23</v>
      </c>
      <c r="AB107" s="3" t="str">
        <f>IF(crimenes_cordoba_ampliado[[#This Row],[Hubo Arresto]]="Sí", "Resuelto", "Pendiente")</f>
        <v>Resuelto</v>
      </c>
      <c r="AC107" s="3" t="s">
        <v>125</v>
      </c>
      <c r="AD107" s="3"/>
    </row>
    <row r="108" spans="1:30" x14ac:dyDescent="0.25">
      <c r="A108">
        <v>604</v>
      </c>
      <c r="B108" s="1">
        <v>42460</v>
      </c>
      <c r="C108" s="33">
        <f t="shared" si="2"/>
        <v>42460</v>
      </c>
      <c r="D108" s="34">
        <f t="shared" si="3"/>
        <v>42460</v>
      </c>
      <c r="E108" s="35" t="s">
        <v>1454</v>
      </c>
      <c r="F108" s="2">
        <v>9.8611111111111108E-2</v>
      </c>
      <c r="G108" s="3" t="s">
        <v>31</v>
      </c>
      <c r="H108" s="3" t="s">
        <v>60</v>
      </c>
      <c r="I108" s="25" t="str">
        <f>VLOOKUP(H108,Tabla5[#All],4,FALSE)</f>
        <v>-31,4076397196409, -64,2020170430678</v>
      </c>
      <c r="J108" s="1">
        <v>23367</v>
      </c>
      <c r="K108" s="7">
        <f>INT((crimenes_cordoba_ampliado[[#This Row],[Fecha]]-crimenes_cordoba_ampliado[[#This Row],[Fecha Nac. Delincuente]])/365)</f>
        <v>52</v>
      </c>
      <c r="L108" s="7" t="str">
        <f>_xlfn.XLOOKUP(crimenes_cordoba_ampliado[[#This Row],[EDAD DELINCUENTE]],'Rango etareo'!$A$10:$A$25,'Rango etareo'!$B$10:$B$25,,-1)</f>
        <v>46 - 55</v>
      </c>
      <c r="M108" s="3" t="s">
        <v>22</v>
      </c>
      <c r="N108" s="3" t="str">
        <f>IF(crimenes_cordoba_ampliado[[#This Row],[Género Delincuente]]="Femenino","🚺","🚹")</f>
        <v>🚹</v>
      </c>
      <c r="O108">
        <v>5</v>
      </c>
      <c r="P108" s="1">
        <v>33241</v>
      </c>
      <c r="Q108" s="7">
        <f>INT((crimenes_cordoba_ampliado[[#This Row],[Fecha]]-crimenes_cordoba_ampliado[[#This Row],[Fecha Nac. Víctima]])/365)</f>
        <v>25</v>
      </c>
      <c r="R108" s="7" t="str">
        <f>_xlfn.XLOOKUP(crimenes_cordoba_ampliado[[#This Row],[EDAD VICTIMA]],'Rango etareo'!$A$2:$A$25,'Rango etareo'!$B$2:$B$25,,-1)</f>
        <v>18 - 25</v>
      </c>
      <c r="S108" s="3" t="s">
        <v>22</v>
      </c>
      <c r="T108" s="3" t="str">
        <f>IF(crimenes_cordoba_ampliado[[#This Row],[Género Víctima]]="Masculino","🚹","🚺")</f>
        <v>🚹</v>
      </c>
      <c r="U108">
        <v>3</v>
      </c>
      <c r="V108" s="3" t="s">
        <v>25</v>
      </c>
      <c r="W108" s="3" t="s">
        <v>24</v>
      </c>
      <c r="X108" s="3" t="s">
        <v>24</v>
      </c>
      <c r="Y108" s="3" t="s">
        <v>106</v>
      </c>
      <c r="Z108" s="3" t="s">
        <v>23</v>
      </c>
      <c r="AA108" s="3" t="s">
        <v>25</v>
      </c>
      <c r="AB108" s="3" t="str">
        <f>IF(crimenes_cordoba_ampliado[[#This Row],[Hubo Arresto]]="Sí", "Resuelto", "Pendiente")</f>
        <v>Pendiente</v>
      </c>
      <c r="AC108" s="3" t="s">
        <v>24</v>
      </c>
      <c r="AD108" s="3"/>
    </row>
    <row r="109" spans="1:30" x14ac:dyDescent="0.25">
      <c r="A109">
        <v>110</v>
      </c>
      <c r="B109" s="1">
        <v>45354</v>
      </c>
      <c r="C109" s="33">
        <f t="shared" si="2"/>
        <v>45354</v>
      </c>
      <c r="D109" s="34">
        <f t="shared" si="3"/>
        <v>45354</v>
      </c>
      <c r="E109" s="35" t="s">
        <v>1449</v>
      </c>
      <c r="F109" s="2">
        <v>0.56736111111111109</v>
      </c>
      <c r="G109" s="3" t="s">
        <v>38</v>
      </c>
      <c r="H109" s="3" t="s">
        <v>60</v>
      </c>
      <c r="I109" s="25" t="str">
        <f>VLOOKUP(H109,Tabla5[#All],4,FALSE)</f>
        <v>-31,4076397196409, -64,2020170430678</v>
      </c>
      <c r="J109" s="1">
        <v>19152</v>
      </c>
      <c r="K109" s="7">
        <f>INT((crimenes_cordoba_ampliado[[#This Row],[Fecha]]-crimenes_cordoba_ampliado[[#This Row],[Fecha Nac. Delincuente]])/365)</f>
        <v>71</v>
      </c>
      <c r="L109" s="7" t="str">
        <f>_xlfn.XLOOKUP(crimenes_cordoba_ampliado[[#This Row],[EDAD DELINCUENTE]],'Rango etareo'!$A$10:$A$25,'Rango etareo'!$B$10:$B$25,,-1)</f>
        <v>&gt;65</v>
      </c>
      <c r="M109" s="3" t="s">
        <v>21</v>
      </c>
      <c r="N109" s="3" t="str">
        <f>IF(crimenes_cordoba_ampliado[[#This Row],[Género Delincuente]]="Femenino","🚺","🚹")</f>
        <v>🚺</v>
      </c>
      <c r="O109">
        <v>5</v>
      </c>
      <c r="P109" s="1">
        <v>26612</v>
      </c>
      <c r="Q109" s="7">
        <f>INT((crimenes_cordoba_ampliado[[#This Row],[Fecha]]-crimenes_cordoba_ampliado[[#This Row],[Fecha Nac. Víctima]])/365)</f>
        <v>51</v>
      </c>
      <c r="R109" s="7" t="str">
        <f>_xlfn.XLOOKUP(crimenes_cordoba_ampliado[[#This Row],[EDAD VICTIMA]],'Rango etareo'!$A$2:$A$25,'Rango etareo'!$B$2:$B$25,,-1)</f>
        <v>46 - 55</v>
      </c>
      <c r="S109" s="3" t="s">
        <v>22</v>
      </c>
      <c r="T109" s="3" t="str">
        <f>IF(crimenes_cordoba_ampliado[[#This Row],[Género Víctima]]="Masculino","🚹","🚺")</f>
        <v>🚹</v>
      </c>
      <c r="U109">
        <v>2</v>
      </c>
      <c r="V109" s="3" t="s">
        <v>23</v>
      </c>
      <c r="W109" s="3" t="s">
        <v>24</v>
      </c>
      <c r="X109" s="3" t="s">
        <v>24</v>
      </c>
      <c r="Y109" s="3" t="s">
        <v>113</v>
      </c>
      <c r="Z109" s="3" t="s">
        <v>25</v>
      </c>
      <c r="AA109" s="3" t="s">
        <v>23</v>
      </c>
      <c r="AB109" s="3" t="str">
        <f>IF(crimenes_cordoba_ampliado[[#This Row],[Hubo Arresto]]="Sí", "Resuelto", "Pendiente")</f>
        <v>Resuelto</v>
      </c>
      <c r="AC109" s="3" t="s">
        <v>104</v>
      </c>
      <c r="AD109" s="3"/>
    </row>
    <row r="110" spans="1:30" x14ac:dyDescent="0.25">
      <c r="A110">
        <v>6</v>
      </c>
      <c r="B110" s="1">
        <v>42465</v>
      </c>
      <c r="C110" s="33">
        <f t="shared" si="2"/>
        <v>42465</v>
      </c>
      <c r="D110" s="34">
        <f t="shared" si="3"/>
        <v>42465</v>
      </c>
      <c r="E110" s="35" t="s">
        <v>1453</v>
      </c>
      <c r="F110" s="2">
        <v>0.59791666666666665</v>
      </c>
      <c r="G110" s="3" t="s">
        <v>27</v>
      </c>
      <c r="H110" s="3" t="s">
        <v>40</v>
      </c>
      <c r="I110" s="25" t="str">
        <f>VLOOKUP(H110,Tabla5[#All],4,FALSE)</f>
        <v>-31,334500143441, -64,2460773260564</v>
      </c>
      <c r="J110" s="1">
        <v>26245</v>
      </c>
      <c r="K110" s="7">
        <f>INT((crimenes_cordoba_ampliado[[#This Row],[Fecha]]-crimenes_cordoba_ampliado[[#This Row],[Fecha Nac. Delincuente]])/365)</f>
        <v>44</v>
      </c>
      <c r="L110" s="7" t="str">
        <f>_xlfn.XLOOKUP(crimenes_cordoba_ampliado[[#This Row],[EDAD DELINCUENTE]],'Rango etareo'!$A$10:$A$25,'Rango etareo'!$B$10:$B$25,,-1)</f>
        <v>36 - 45</v>
      </c>
      <c r="M110" s="3" t="s">
        <v>21</v>
      </c>
      <c r="N110" s="3" t="str">
        <f>IF(crimenes_cordoba_ampliado[[#This Row],[Género Delincuente]]="Femenino","🚺","🚹")</f>
        <v>🚺</v>
      </c>
      <c r="O110">
        <v>5</v>
      </c>
      <c r="P110" s="1">
        <v>39137</v>
      </c>
      <c r="Q110" s="7">
        <f>INT((crimenes_cordoba_ampliado[[#This Row],[Fecha]]-crimenes_cordoba_ampliado[[#This Row],[Fecha Nac. Víctima]])/365)</f>
        <v>9</v>
      </c>
      <c r="R110" s="7" t="str">
        <f>_xlfn.XLOOKUP(crimenes_cordoba_ampliado[[#This Row],[EDAD VICTIMA]],'Rango etareo'!$A$2:$A$25,'Rango etareo'!$B$2:$B$25,,-1)</f>
        <v>&lt;=17</v>
      </c>
      <c r="S110" s="3" t="s">
        <v>21</v>
      </c>
      <c r="T110" s="3" t="str">
        <f>IF(crimenes_cordoba_ampliado[[#This Row],[Género Víctima]]="Masculino","🚹","🚺")</f>
        <v>🚺</v>
      </c>
      <c r="U110">
        <v>3</v>
      </c>
      <c r="V110" s="3" t="s">
        <v>25</v>
      </c>
      <c r="W110" s="3" t="s">
        <v>24</v>
      </c>
      <c r="X110" s="3" t="s">
        <v>41</v>
      </c>
      <c r="Y110" s="3" t="s">
        <v>24</v>
      </c>
      <c r="Z110" s="3" t="s">
        <v>25</v>
      </c>
      <c r="AA110" s="3" t="s">
        <v>25</v>
      </c>
      <c r="AB110" s="3" t="str">
        <f>IF(crimenes_cordoba_ampliado[[#This Row],[Hubo Arresto]]="Sí", "Resuelto", "Pendiente")</f>
        <v>Pendiente</v>
      </c>
      <c r="AC110" s="3" t="s">
        <v>24</v>
      </c>
      <c r="AD110" s="3"/>
    </row>
    <row r="111" spans="1:30" x14ac:dyDescent="0.25">
      <c r="A111">
        <v>614</v>
      </c>
      <c r="B111" s="1">
        <v>42467</v>
      </c>
      <c r="C111" s="33">
        <f t="shared" si="2"/>
        <v>42467</v>
      </c>
      <c r="D111" s="34">
        <f t="shared" si="3"/>
        <v>42467</v>
      </c>
      <c r="E111" s="35" t="s">
        <v>1454</v>
      </c>
      <c r="F111" s="2">
        <v>0.43194444444444446</v>
      </c>
      <c r="G111" s="3" t="s">
        <v>81</v>
      </c>
      <c r="H111" s="3" t="s">
        <v>49</v>
      </c>
      <c r="I111" s="25" t="str">
        <f>VLOOKUP(H111,Tabla5[#All],4,FALSE)</f>
        <v>-31,4506257494184, -64,1733054344705</v>
      </c>
      <c r="J111" s="1">
        <v>33578</v>
      </c>
      <c r="K111" s="7">
        <f>INT((crimenes_cordoba_ampliado[[#This Row],[Fecha]]-crimenes_cordoba_ampliado[[#This Row],[Fecha Nac. Delincuente]])/365)</f>
        <v>24</v>
      </c>
      <c r="L111" s="7" t="str">
        <f>_xlfn.XLOOKUP(crimenes_cordoba_ampliado[[#This Row],[EDAD DELINCUENTE]],'Rango etareo'!$A$10:$A$25,'Rango etareo'!$B$10:$B$25,,-1)</f>
        <v>18 - 25</v>
      </c>
      <c r="M111" s="3" t="s">
        <v>21</v>
      </c>
      <c r="N111" s="3" t="str">
        <f>IF(crimenes_cordoba_ampliado[[#This Row],[Género Delincuente]]="Femenino","🚺","🚹")</f>
        <v>🚺</v>
      </c>
      <c r="O111">
        <v>3</v>
      </c>
      <c r="P111" s="1">
        <v>27973</v>
      </c>
      <c r="Q111" s="7">
        <f>INT((crimenes_cordoba_ampliado[[#This Row],[Fecha]]-crimenes_cordoba_ampliado[[#This Row],[Fecha Nac. Víctima]])/365)</f>
        <v>39</v>
      </c>
      <c r="R111" s="7" t="str">
        <f>_xlfn.XLOOKUP(crimenes_cordoba_ampliado[[#This Row],[EDAD VICTIMA]],'Rango etareo'!$A$2:$A$25,'Rango etareo'!$B$2:$B$25,,-1)</f>
        <v>36 - 45</v>
      </c>
      <c r="S111" s="3" t="s">
        <v>22</v>
      </c>
      <c r="T111" s="3" t="str">
        <f>IF(crimenes_cordoba_ampliado[[#This Row],[Género Víctima]]="Masculino","🚹","🚺")</f>
        <v>🚹</v>
      </c>
      <c r="U111">
        <v>2</v>
      </c>
      <c r="V111" s="3" t="s">
        <v>25</v>
      </c>
      <c r="W111" s="3" t="s">
        <v>24</v>
      </c>
      <c r="X111" s="3" t="s">
        <v>24</v>
      </c>
      <c r="Y111" s="3" t="s">
        <v>56</v>
      </c>
      <c r="Z111" s="3" t="s">
        <v>25</v>
      </c>
      <c r="AA111" s="3" t="s">
        <v>23</v>
      </c>
      <c r="AB111" s="3" t="str">
        <f>IF(crimenes_cordoba_ampliado[[#This Row],[Hubo Arresto]]="Sí", "Resuelto", "Pendiente")</f>
        <v>Pendiente</v>
      </c>
      <c r="AC111" s="3" t="s">
        <v>24</v>
      </c>
      <c r="AD111" s="3"/>
    </row>
    <row r="112" spans="1:30" x14ac:dyDescent="0.25">
      <c r="A112">
        <v>217</v>
      </c>
      <c r="B112" s="1">
        <v>42472</v>
      </c>
      <c r="C112" s="33">
        <f t="shared" si="2"/>
        <v>42472</v>
      </c>
      <c r="D112" s="34">
        <f t="shared" si="3"/>
        <v>42472</v>
      </c>
      <c r="E112" s="35" t="s">
        <v>1453</v>
      </c>
      <c r="F112" s="2">
        <v>0.4236111111111111</v>
      </c>
      <c r="G112" s="3" t="s">
        <v>35</v>
      </c>
      <c r="H112" s="3" t="s">
        <v>52</v>
      </c>
      <c r="I112" s="25" t="str">
        <f>VLOOKUP(H112,Tabla5[#All],4,FALSE)</f>
        <v>-31,3477902896523, -64,2644406169297</v>
      </c>
      <c r="J112" s="1">
        <v>32548</v>
      </c>
      <c r="K112" s="7">
        <f>INT((crimenes_cordoba_ampliado[[#This Row],[Fecha]]-crimenes_cordoba_ampliado[[#This Row],[Fecha Nac. Delincuente]])/365)</f>
        <v>27</v>
      </c>
      <c r="L112" s="7" t="str">
        <f>_xlfn.XLOOKUP(crimenes_cordoba_ampliado[[#This Row],[EDAD DELINCUENTE]],'Rango etareo'!$A$10:$A$25,'Rango etareo'!$B$10:$B$25,,-1)</f>
        <v>26 - 35</v>
      </c>
      <c r="M112" s="3" t="s">
        <v>22</v>
      </c>
      <c r="N112" s="3" t="str">
        <f>IF(crimenes_cordoba_ampliado[[#This Row],[Género Delincuente]]="Femenino","🚺","🚹")</f>
        <v>🚹</v>
      </c>
      <c r="O112">
        <v>3</v>
      </c>
      <c r="P112" s="1">
        <v>18574</v>
      </c>
      <c r="Q112" s="7">
        <f>INT((crimenes_cordoba_ampliado[[#This Row],[Fecha]]-crimenes_cordoba_ampliado[[#This Row],[Fecha Nac. Víctima]])/365)</f>
        <v>65</v>
      </c>
      <c r="R112" s="7" t="str">
        <f>_xlfn.XLOOKUP(crimenes_cordoba_ampliado[[#This Row],[EDAD VICTIMA]],'Rango etareo'!$A$2:$A$25,'Rango etareo'!$B$2:$B$25,,-1)</f>
        <v>&gt;65</v>
      </c>
      <c r="S112" s="3" t="s">
        <v>22</v>
      </c>
      <c r="T112" s="3" t="str">
        <f>IF(crimenes_cordoba_ampliado[[#This Row],[Género Víctima]]="Masculino","🚹","🚺")</f>
        <v>🚹</v>
      </c>
      <c r="U112">
        <v>3</v>
      </c>
      <c r="V112" s="3" t="s">
        <v>25</v>
      </c>
      <c r="W112" s="3" t="s">
        <v>24</v>
      </c>
      <c r="X112" s="3" t="s">
        <v>24</v>
      </c>
      <c r="Y112" s="3" t="s">
        <v>69</v>
      </c>
      <c r="Z112" s="3" t="s">
        <v>25</v>
      </c>
      <c r="AA112" s="3" t="s">
        <v>25</v>
      </c>
      <c r="AB112" s="3" t="str">
        <f>IF(crimenes_cordoba_ampliado[[#This Row],[Hubo Arresto]]="Sí", "Resuelto", "Pendiente")</f>
        <v>Pendiente</v>
      </c>
      <c r="AC112" s="3" t="s">
        <v>24</v>
      </c>
      <c r="AD112" s="3"/>
    </row>
    <row r="113" spans="1:30" x14ac:dyDescent="0.25">
      <c r="A113">
        <v>21</v>
      </c>
      <c r="B113" s="1">
        <v>42473</v>
      </c>
      <c r="C113" s="33">
        <f t="shared" si="2"/>
        <v>42473</v>
      </c>
      <c r="D113" s="34">
        <f t="shared" si="3"/>
        <v>42473</v>
      </c>
      <c r="E113" s="35" t="s">
        <v>1450</v>
      </c>
      <c r="F113" s="2">
        <v>0.5805555555555556</v>
      </c>
      <c r="G113" s="3" t="s">
        <v>51</v>
      </c>
      <c r="H113" s="3" t="s">
        <v>70</v>
      </c>
      <c r="I113" s="25" t="str">
        <f>VLOOKUP(H113,Tabla5[#All],4,FALSE)</f>
        <v>-31,3759272890294, -64,2284587792478</v>
      </c>
      <c r="J113" s="1">
        <v>24770</v>
      </c>
      <c r="K113" s="7">
        <f>INT((crimenes_cordoba_ampliado[[#This Row],[Fecha]]-crimenes_cordoba_ampliado[[#This Row],[Fecha Nac. Delincuente]])/365)</f>
        <v>48</v>
      </c>
      <c r="L113" s="7" t="str">
        <f>_xlfn.XLOOKUP(crimenes_cordoba_ampliado[[#This Row],[EDAD DELINCUENTE]],'Rango etareo'!$A$10:$A$25,'Rango etareo'!$B$10:$B$25,,-1)</f>
        <v>46 - 55</v>
      </c>
      <c r="M113" s="3" t="s">
        <v>21</v>
      </c>
      <c r="N113" s="3" t="str">
        <f>IF(crimenes_cordoba_ampliado[[#This Row],[Género Delincuente]]="Femenino","🚺","🚹")</f>
        <v>🚺</v>
      </c>
      <c r="O113">
        <v>5</v>
      </c>
      <c r="P113" s="1">
        <v>22994</v>
      </c>
      <c r="Q113" s="7">
        <f>INT((crimenes_cordoba_ampliado[[#This Row],[Fecha]]-crimenes_cordoba_ampliado[[#This Row],[Fecha Nac. Víctima]])/365)</f>
        <v>53</v>
      </c>
      <c r="R113" s="7" t="str">
        <f>_xlfn.XLOOKUP(crimenes_cordoba_ampliado[[#This Row],[EDAD VICTIMA]],'Rango etareo'!$A$2:$A$25,'Rango etareo'!$B$2:$B$25,,-1)</f>
        <v>46 - 55</v>
      </c>
      <c r="S113" s="3" t="s">
        <v>22</v>
      </c>
      <c r="T113" s="3" t="str">
        <f>IF(crimenes_cordoba_ampliado[[#This Row],[Género Víctima]]="Masculino","🚹","🚺")</f>
        <v>🚹</v>
      </c>
      <c r="U113">
        <v>3</v>
      </c>
      <c r="V113" s="3" t="s">
        <v>25</v>
      </c>
      <c r="W113" s="3" t="s">
        <v>24</v>
      </c>
      <c r="X113" s="3" t="s">
        <v>29</v>
      </c>
      <c r="Y113" s="3" t="s">
        <v>24</v>
      </c>
      <c r="Z113" s="3" t="s">
        <v>25</v>
      </c>
      <c r="AA113" s="3" t="s">
        <v>25</v>
      </c>
      <c r="AB113" s="3" t="str">
        <f>IF(crimenes_cordoba_ampliado[[#This Row],[Hubo Arresto]]="Sí", "Resuelto", "Pendiente")</f>
        <v>Pendiente</v>
      </c>
      <c r="AC113" s="3" t="s">
        <v>24</v>
      </c>
      <c r="AD113" s="3"/>
    </row>
    <row r="114" spans="1:30" x14ac:dyDescent="0.25">
      <c r="A114">
        <v>809</v>
      </c>
      <c r="B114" s="1">
        <v>42473</v>
      </c>
      <c r="C114" s="33">
        <f t="shared" si="2"/>
        <v>42473</v>
      </c>
      <c r="D114" s="34">
        <f t="shared" si="3"/>
        <v>42473</v>
      </c>
      <c r="E114" s="35" t="s">
        <v>1450</v>
      </c>
      <c r="F114" s="2">
        <v>0.88680555555555551</v>
      </c>
      <c r="G114" s="3" t="s">
        <v>81</v>
      </c>
      <c r="H114" s="3" t="s">
        <v>62</v>
      </c>
      <c r="I114" s="25" t="str">
        <f>VLOOKUP(H114,Tabla5[#All],4,FALSE)</f>
        <v>-31,3909520937826, -64,1836424491715</v>
      </c>
      <c r="J114" s="1">
        <v>28681</v>
      </c>
      <c r="K114" s="7">
        <f>INT((crimenes_cordoba_ampliado[[#This Row],[Fecha]]-crimenes_cordoba_ampliado[[#This Row],[Fecha Nac. Delincuente]])/365)</f>
        <v>37</v>
      </c>
      <c r="L114" s="7" t="str">
        <f>_xlfn.XLOOKUP(crimenes_cordoba_ampliado[[#This Row],[EDAD DELINCUENTE]],'Rango etareo'!$A$10:$A$25,'Rango etareo'!$B$10:$B$25,,-1)</f>
        <v>36 - 45</v>
      </c>
      <c r="M114" s="3" t="s">
        <v>21</v>
      </c>
      <c r="N114" s="3" t="str">
        <f>IF(crimenes_cordoba_ampliado[[#This Row],[Género Delincuente]]="Femenino","🚺","🚹")</f>
        <v>🚺</v>
      </c>
      <c r="O114">
        <v>1</v>
      </c>
      <c r="P114" s="1">
        <v>34497</v>
      </c>
      <c r="Q114" s="7">
        <f>INT((crimenes_cordoba_ampliado[[#This Row],[Fecha]]-crimenes_cordoba_ampliado[[#This Row],[Fecha Nac. Víctima]])/365)</f>
        <v>21</v>
      </c>
      <c r="R114" s="7" t="str">
        <f>_xlfn.XLOOKUP(crimenes_cordoba_ampliado[[#This Row],[EDAD VICTIMA]],'Rango etareo'!$A$2:$A$25,'Rango etareo'!$B$2:$B$25,,-1)</f>
        <v>18 - 25</v>
      </c>
      <c r="S114" s="3" t="s">
        <v>21</v>
      </c>
      <c r="T114" s="3" t="str">
        <f>IF(crimenes_cordoba_ampliado[[#This Row],[Género Víctima]]="Masculino","🚹","🚺")</f>
        <v>🚺</v>
      </c>
      <c r="U114">
        <v>1</v>
      </c>
      <c r="V114" s="3" t="s">
        <v>25</v>
      </c>
      <c r="W114" s="3" t="s">
        <v>24</v>
      </c>
      <c r="X114" s="3" t="s">
        <v>24</v>
      </c>
      <c r="Y114" s="3" t="s">
        <v>33</v>
      </c>
      <c r="Z114" s="3" t="s">
        <v>25</v>
      </c>
      <c r="AA114" s="3" t="s">
        <v>23</v>
      </c>
      <c r="AB114" s="3" t="str">
        <f>IF(crimenes_cordoba_ampliado[[#This Row],[Hubo Arresto]]="Sí", "Resuelto", "Pendiente")</f>
        <v>Pendiente</v>
      </c>
      <c r="AC114" s="3" t="s">
        <v>24</v>
      </c>
      <c r="AD114" s="3"/>
    </row>
    <row r="115" spans="1:30" x14ac:dyDescent="0.25">
      <c r="A115">
        <v>525</v>
      </c>
      <c r="B115" s="1">
        <v>42480</v>
      </c>
      <c r="C115" s="33">
        <f t="shared" si="2"/>
        <v>42480</v>
      </c>
      <c r="D115" s="34">
        <f t="shared" si="3"/>
        <v>42480</v>
      </c>
      <c r="E115" s="35" t="s">
        <v>1450</v>
      </c>
      <c r="F115" s="2">
        <v>0.59652777777777777</v>
      </c>
      <c r="G115" s="3" t="s">
        <v>38</v>
      </c>
      <c r="H115" s="3" t="s">
        <v>52</v>
      </c>
      <c r="I115" s="25" t="str">
        <f>VLOOKUP(H115,Tabla5[#All],4,FALSE)</f>
        <v>-31,3477902896523, -64,2644406169297</v>
      </c>
      <c r="J115" s="1">
        <v>20069</v>
      </c>
      <c r="K115" s="7">
        <f>INT((crimenes_cordoba_ampliado[[#This Row],[Fecha]]-crimenes_cordoba_ampliado[[#This Row],[Fecha Nac. Delincuente]])/365)</f>
        <v>61</v>
      </c>
      <c r="L115" s="7" t="str">
        <f>_xlfn.XLOOKUP(crimenes_cordoba_ampliado[[#This Row],[EDAD DELINCUENTE]],'Rango etareo'!$A$10:$A$25,'Rango etareo'!$B$10:$B$25,,-1)</f>
        <v>56 - 65</v>
      </c>
      <c r="M115" s="3" t="s">
        <v>21</v>
      </c>
      <c r="N115" s="3" t="str">
        <f>IF(crimenes_cordoba_ampliado[[#This Row],[Género Delincuente]]="Femenino","🚺","🚹")</f>
        <v>🚺</v>
      </c>
      <c r="O115">
        <v>5</v>
      </c>
      <c r="P115" s="1">
        <v>15804</v>
      </c>
      <c r="Q115" s="7">
        <f>INT((crimenes_cordoba_ampliado[[#This Row],[Fecha]]-crimenes_cordoba_ampliado[[#This Row],[Fecha Nac. Víctima]])/365)</f>
        <v>73</v>
      </c>
      <c r="R115" s="7" t="str">
        <f>_xlfn.XLOOKUP(crimenes_cordoba_ampliado[[#This Row],[EDAD VICTIMA]],'Rango etareo'!$A$2:$A$25,'Rango etareo'!$B$2:$B$25,,-1)</f>
        <v>&gt;65</v>
      </c>
      <c r="S115" s="3" t="s">
        <v>21</v>
      </c>
      <c r="T115" s="3" t="str">
        <f>IF(crimenes_cordoba_ampliado[[#This Row],[Género Víctima]]="Masculino","🚹","🚺")</f>
        <v>🚺</v>
      </c>
      <c r="U115">
        <v>1</v>
      </c>
      <c r="V115" s="3" t="s">
        <v>25</v>
      </c>
      <c r="W115" s="3" t="s">
        <v>24</v>
      </c>
      <c r="X115" s="3" t="s">
        <v>24</v>
      </c>
      <c r="Y115" s="3" t="s">
        <v>56</v>
      </c>
      <c r="Z115" s="3" t="s">
        <v>23</v>
      </c>
      <c r="AA115" s="3" t="s">
        <v>25</v>
      </c>
      <c r="AB115" s="3" t="str">
        <f>IF(crimenes_cordoba_ampliado[[#This Row],[Hubo Arresto]]="Sí", "Resuelto", "Pendiente")</f>
        <v>Pendiente</v>
      </c>
      <c r="AC115" s="3" t="s">
        <v>24</v>
      </c>
      <c r="AD115" s="3"/>
    </row>
    <row r="116" spans="1:30" x14ac:dyDescent="0.25">
      <c r="A116">
        <v>892</v>
      </c>
      <c r="B116" s="1">
        <v>42481</v>
      </c>
      <c r="C116" s="33">
        <f t="shared" si="2"/>
        <v>42481</v>
      </c>
      <c r="D116" s="34">
        <f t="shared" si="3"/>
        <v>42481</v>
      </c>
      <c r="E116" s="35" t="s">
        <v>1454</v>
      </c>
      <c r="F116" s="2">
        <v>0.81874999999999998</v>
      </c>
      <c r="G116" s="3" t="s">
        <v>27</v>
      </c>
      <c r="H116" s="3" t="s">
        <v>70</v>
      </c>
      <c r="I116" s="25" t="str">
        <f>VLOOKUP(H116,Tabla5[#All],4,FALSE)</f>
        <v>-31,3759272890294, -64,2284587792478</v>
      </c>
      <c r="J116" s="1">
        <v>34504</v>
      </c>
      <c r="K116" s="7">
        <f>INT((crimenes_cordoba_ampliado[[#This Row],[Fecha]]-crimenes_cordoba_ampliado[[#This Row],[Fecha Nac. Delincuente]])/365)</f>
        <v>21</v>
      </c>
      <c r="L116" s="7" t="str">
        <f>_xlfn.XLOOKUP(crimenes_cordoba_ampliado[[#This Row],[EDAD DELINCUENTE]],'Rango etareo'!$A$10:$A$25,'Rango etareo'!$B$10:$B$25,,-1)</f>
        <v>18 - 25</v>
      </c>
      <c r="M116" s="3" t="s">
        <v>22</v>
      </c>
      <c r="N116" s="3" t="str">
        <f>IF(crimenes_cordoba_ampliado[[#This Row],[Género Delincuente]]="Femenino","🚺","🚹")</f>
        <v>🚹</v>
      </c>
      <c r="O116">
        <v>5</v>
      </c>
      <c r="P116" s="1">
        <v>21430</v>
      </c>
      <c r="Q116" s="7">
        <f>INT((crimenes_cordoba_ampliado[[#This Row],[Fecha]]-crimenes_cordoba_ampliado[[#This Row],[Fecha Nac. Víctima]])/365)</f>
        <v>57</v>
      </c>
      <c r="R116" s="7" t="str">
        <f>_xlfn.XLOOKUP(crimenes_cordoba_ampliado[[#This Row],[EDAD VICTIMA]],'Rango etareo'!$A$2:$A$25,'Rango etareo'!$B$2:$B$25,,-1)</f>
        <v>56 - 65</v>
      </c>
      <c r="S116" s="3" t="s">
        <v>22</v>
      </c>
      <c r="T116" s="3" t="str">
        <f>IF(crimenes_cordoba_ampliado[[#This Row],[Género Víctima]]="Masculino","🚹","🚺")</f>
        <v>🚹</v>
      </c>
      <c r="U116">
        <v>2</v>
      </c>
      <c r="V116" s="3" t="s">
        <v>25</v>
      </c>
      <c r="W116" s="3" t="s">
        <v>71</v>
      </c>
      <c r="X116" s="3" t="s">
        <v>50</v>
      </c>
      <c r="Y116" s="3" t="s">
        <v>24</v>
      </c>
      <c r="Z116" s="3" t="s">
        <v>23</v>
      </c>
      <c r="AA116" s="3" t="s">
        <v>23</v>
      </c>
      <c r="AB116" s="3" t="str">
        <f>IF(crimenes_cordoba_ampliado[[#This Row],[Hubo Arresto]]="Sí", "Resuelto", "Pendiente")</f>
        <v>Pendiente</v>
      </c>
      <c r="AC116" s="3" t="s">
        <v>24</v>
      </c>
      <c r="AD116" s="3"/>
    </row>
    <row r="117" spans="1:30" x14ac:dyDescent="0.25">
      <c r="A117">
        <v>111</v>
      </c>
      <c r="B117" s="1">
        <v>42646</v>
      </c>
      <c r="C117" s="33">
        <f t="shared" si="2"/>
        <v>42646</v>
      </c>
      <c r="D117" s="34">
        <f t="shared" si="3"/>
        <v>42646</v>
      </c>
      <c r="E117" s="35" t="s">
        <v>1452</v>
      </c>
      <c r="F117" s="2">
        <v>0.71597222222222223</v>
      </c>
      <c r="G117" s="3" t="s">
        <v>38</v>
      </c>
      <c r="H117" s="3" t="s">
        <v>40</v>
      </c>
      <c r="I117" s="25" t="str">
        <f>VLOOKUP(H117,Tabla5[#All],4,FALSE)</f>
        <v>-31,334500143441, -64,2460773260564</v>
      </c>
      <c r="J117" s="1">
        <v>33691</v>
      </c>
      <c r="K117" s="7">
        <f>INT((crimenes_cordoba_ampliado[[#This Row],[Fecha]]-crimenes_cordoba_ampliado[[#This Row],[Fecha Nac. Delincuente]])/365)</f>
        <v>24</v>
      </c>
      <c r="L117" s="7" t="str">
        <f>_xlfn.XLOOKUP(crimenes_cordoba_ampliado[[#This Row],[EDAD DELINCUENTE]],'Rango etareo'!$A$10:$A$25,'Rango etareo'!$B$10:$B$25,,-1)</f>
        <v>18 - 25</v>
      </c>
      <c r="M117" s="3" t="s">
        <v>21</v>
      </c>
      <c r="N117" s="3" t="str">
        <f>IF(crimenes_cordoba_ampliado[[#This Row],[Género Delincuente]]="Femenino","🚺","🚹")</f>
        <v>🚺</v>
      </c>
      <c r="O117">
        <v>5</v>
      </c>
      <c r="P117" s="1">
        <v>25504</v>
      </c>
      <c r="Q117" s="7">
        <f>INT((crimenes_cordoba_ampliado[[#This Row],[Fecha]]-crimenes_cordoba_ampliado[[#This Row],[Fecha Nac. Víctima]])/365)</f>
        <v>46</v>
      </c>
      <c r="R117" s="7" t="str">
        <f>_xlfn.XLOOKUP(crimenes_cordoba_ampliado[[#This Row],[EDAD VICTIMA]],'Rango etareo'!$A$2:$A$25,'Rango etareo'!$B$2:$B$25,,-1)</f>
        <v>46 - 55</v>
      </c>
      <c r="S117" s="3" t="s">
        <v>22</v>
      </c>
      <c r="T117" s="3" t="str">
        <f>IF(crimenes_cordoba_ampliado[[#This Row],[Género Víctima]]="Masculino","🚹","🚺")</f>
        <v>🚹</v>
      </c>
      <c r="U117">
        <v>2</v>
      </c>
      <c r="V117" s="3" t="s">
        <v>23</v>
      </c>
      <c r="W117" s="3" t="s">
        <v>24</v>
      </c>
      <c r="X117" s="3" t="s">
        <v>24</v>
      </c>
      <c r="Y117" s="3" t="s">
        <v>69</v>
      </c>
      <c r="Z117" s="3" t="s">
        <v>25</v>
      </c>
      <c r="AA117" s="3" t="s">
        <v>25</v>
      </c>
      <c r="AB117" s="3" t="str">
        <f>IF(crimenes_cordoba_ampliado[[#This Row],[Hubo Arresto]]="Sí", "Resuelto", "Pendiente")</f>
        <v>Resuelto</v>
      </c>
      <c r="AC117" s="3" t="s">
        <v>126</v>
      </c>
      <c r="AD117" s="3"/>
    </row>
    <row r="118" spans="1:30" x14ac:dyDescent="0.25">
      <c r="A118">
        <v>402</v>
      </c>
      <c r="B118" s="1">
        <v>42485</v>
      </c>
      <c r="C118" s="33">
        <f t="shared" si="2"/>
        <v>42485</v>
      </c>
      <c r="D118" s="34">
        <f t="shared" si="3"/>
        <v>42485</v>
      </c>
      <c r="E118" s="35" t="s">
        <v>1452</v>
      </c>
      <c r="F118" s="2">
        <v>0.60416666666666663</v>
      </c>
      <c r="G118" s="3" t="s">
        <v>45</v>
      </c>
      <c r="H118" s="3" t="s">
        <v>60</v>
      </c>
      <c r="I118" s="25" t="str">
        <f>VLOOKUP(H118,Tabla5[#All],4,FALSE)</f>
        <v>-31,4076397196409, -64,2020170430678</v>
      </c>
      <c r="J118" s="1">
        <v>29243</v>
      </c>
      <c r="K118" s="7">
        <f>INT((crimenes_cordoba_ampliado[[#This Row],[Fecha]]-crimenes_cordoba_ampliado[[#This Row],[Fecha Nac. Delincuente]])/365)</f>
        <v>36</v>
      </c>
      <c r="L118" s="7" t="str">
        <f>_xlfn.XLOOKUP(crimenes_cordoba_ampliado[[#This Row],[EDAD DELINCUENTE]],'Rango etareo'!$A$10:$A$25,'Rango etareo'!$B$10:$B$25,,-1)</f>
        <v>36 - 45</v>
      </c>
      <c r="M118" s="3" t="s">
        <v>21</v>
      </c>
      <c r="N118" s="3" t="str">
        <f>IF(crimenes_cordoba_ampliado[[#This Row],[Género Delincuente]]="Femenino","🚺","🚹")</f>
        <v>🚺</v>
      </c>
      <c r="O118">
        <v>3</v>
      </c>
      <c r="P118" s="1">
        <v>17375</v>
      </c>
      <c r="Q118" s="7">
        <f>INT((crimenes_cordoba_ampliado[[#This Row],[Fecha]]-crimenes_cordoba_ampliado[[#This Row],[Fecha Nac. Víctima]])/365)</f>
        <v>68</v>
      </c>
      <c r="R118" s="7" t="str">
        <f>_xlfn.XLOOKUP(crimenes_cordoba_ampliado[[#This Row],[EDAD VICTIMA]],'Rango etareo'!$A$2:$A$25,'Rango etareo'!$B$2:$B$25,,-1)</f>
        <v>&gt;65</v>
      </c>
      <c r="S118" s="3" t="s">
        <v>21</v>
      </c>
      <c r="T118" s="3" t="str">
        <f>IF(crimenes_cordoba_ampliado[[#This Row],[Género Víctima]]="Masculino","🚹","🚺")</f>
        <v>🚺</v>
      </c>
      <c r="U118">
        <v>2</v>
      </c>
      <c r="V118" s="3" t="s">
        <v>25</v>
      </c>
      <c r="W118" s="3" t="s">
        <v>24</v>
      </c>
      <c r="X118" s="3" t="s">
        <v>24</v>
      </c>
      <c r="Y118" s="3" t="s">
        <v>89</v>
      </c>
      <c r="Z118" s="3" t="s">
        <v>25</v>
      </c>
      <c r="AA118" s="3" t="s">
        <v>23</v>
      </c>
      <c r="AB118" s="3" t="str">
        <f>IF(crimenes_cordoba_ampliado[[#This Row],[Hubo Arresto]]="Sí", "Resuelto", "Pendiente")</f>
        <v>Pendiente</v>
      </c>
      <c r="AC118" s="3" t="s">
        <v>24</v>
      </c>
      <c r="AD118" s="3"/>
    </row>
    <row r="119" spans="1:30" x14ac:dyDescent="0.25">
      <c r="A119">
        <v>112</v>
      </c>
      <c r="B119" s="1">
        <v>45248</v>
      </c>
      <c r="C119" s="33">
        <f t="shared" si="2"/>
        <v>45248</v>
      </c>
      <c r="D119" s="34">
        <f t="shared" si="3"/>
        <v>45248</v>
      </c>
      <c r="E119" s="35" t="s">
        <v>1451</v>
      </c>
      <c r="F119" s="2">
        <v>7.4999999999999997E-2</v>
      </c>
      <c r="G119" s="3" t="s">
        <v>51</v>
      </c>
      <c r="H119" s="3" t="s">
        <v>20</v>
      </c>
      <c r="I119" s="25" t="str">
        <f>VLOOKUP(H119,Tabla5[#All],4,FALSE)</f>
        <v>-31,4800162965848, -64,2094200976892</v>
      </c>
      <c r="J119" s="1">
        <v>18614</v>
      </c>
      <c r="K119" s="7">
        <f>INT((crimenes_cordoba_ampliado[[#This Row],[Fecha]]-crimenes_cordoba_ampliado[[#This Row],[Fecha Nac. Delincuente]])/365)</f>
        <v>72</v>
      </c>
      <c r="L119" s="7" t="str">
        <f>_xlfn.XLOOKUP(crimenes_cordoba_ampliado[[#This Row],[EDAD DELINCUENTE]],'Rango etareo'!$A$10:$A$25,'Rango etareo'!$B$10:$B$25,,-1)</f>
        <v>&gt;65</v>
      </c>
      <c r="M119" s="3" t="s">
        <v>22</v>
      </c>
      <c r="N119" s="3" t="str">
        <f>IF(crimenes_cordoba_ampliado[[#This Row],[Género Delincuente]]="Femenino","🚺","🚹")</f>
        <v>🚹</v>
      </c>
      <c r="O119">
        <v>4</v>
      </c>
      <c r="P119" s="1">
        <v>18470</v>
      </c>
      <c r="Q119" s="7">
        <f>INT((crimenes_cordoba_ampliado[[#This Row],[Fecha]]-crimenes_cordoba_ampliado[[#This Row],[Fecha Nac. Víctima]])/365)</f>
        <v>73</v>
      </c>
      <c r="R119" s="7" t="str">
        <f>_xlfn.XLOOKUP(crimenes_cordoba_ampliado[[#This Row],[EDAD VICTIMA]],'Rango etareo'!$A$2:$A$25,'Rango etareo'!$B$2:$B$25,,-1)</f>
        <v>&gt;65</v>
      </c>
      <c r="S119" s="3" t="s">
        <v>22</v>
      </c>
      <c r="T119" s="3" t="str">
        <f>IF(crimenes_cordoba_ampliado[[#This Row],[Género Víctima]]="Masculino","🚹","🚺")</f>
        <v>🚹</v>
      </c>
      <c r="U119">
        <v>2</v>
      </c>
      <c r="V119" s="3" t="s">
        <v>23</v>
      </c>
      <c r="W119" s="3" t="s">
        <v>24</v>
      </c>
      <c r="X119" s="3" t="s">
        <v>24</v>
      </c>
      <c r="Y119" s="3" t="s">
        <v>24</v>
      </c>
      <c r="Z119" s="3" t="s">
        <v>25</v>
      </c>
      <c r="AA119" s="3" t="s">
        <v>23</v>
      </c>
      <c r="AB119" s="3" t="str">
        <f>IF(crimenes_cordoba_ampliado[[#This Row],[Hubo Arresto]]="Sí", "Resuelto", "Pendiente")</f>
        <v>Resuelto</v>
      </c>
      <c r="AC119" s="3" t="s">
        <v>127</v>
      </c>
      <c r="AD119" s="3"/>
    </row>
    <row r="120" spans="1:30" x14ac:dyDescent="0.25">
      <c r="A120">
        <v>113</v>
      </c>
      <c r="B120" s="1">
        <v>43557</v>
      </c>
      <c r="C120" s="33">
        <f t="shared" si="2"/>
        <v>43557</v>
      </c>
      <c r="D120" s="34">
        <f t="shared" si="3"/>
        <v>43557</v>
      </c>
      <c r="E120" s="35" t="s">
        <v>1453</v>
      </c>
      <c r="F120" s="2">
        <v>0.22569444444444445</v>
      </c>
      <c r="G120" s="3" t="s">
        <v>19</v>
      </c>
      <c r="H120" s="3" t="s">
        <v>49</v>
      </c>
      <c r="I120" s="25" t="str">
        <f>VLOOKUP(H120,Tabla5[#All],4,FALSE)</f>
        <v>-31,4506257494184, -64,1733054344705</v>
      </c>
      <c r="J120" s="1">
        <v>22091</v>
      </c>
      <c r="K120" s="7">
        <f>INT((crimenes_cordoba_ampliado[[#This Row],[Fecha]]-crimenes_cordoba_ampliado[[#This Row],[Fecha Nac. Delincuente]])/365)</f>
        <v>58</v>
      </c>
      <c r="L120" s="7" t="str">
        <f>_xlfn.XLOOKUP(crimenes_cordoba_ampliado[[#This Row],[EDAD DELINCUENTE]],'Rango etareo'!$A$10:$A$25,'Rango etareo'!$B$10:$B$25,,-1)</f>
        <v>56 - 65</v>
      </c>
      <c r="M120" s="3" t="s">
        <v>22</v>
      </c>
      <c r="N120" s="3" t="str">
        <f>IF(crimenes_cordoba_ampliado[[#This Row],[Género Delincuente]]="Femenino","🚺","🚹")</f>
        <v>🚹</v>
      </c>
      <c r="O120">
        <v>2</v>
      </c>
      <c r="P120" s="1">
        <v>38154</v>
      </c>
      <c r="Q120" s="7">
        <f>INT((crimenes_cordoba_ampliado[[#This Row],[Fecha]]-crimenes_cordoba_ampliado[[#This Row],[Fecha Nac. Víctima]])/365)</f>
        <v>14</v>
      </c>
      <c r="R120" s="7" t="str">
        <f>_xlfn.XLOOKUP(crimenes_cordoba_ampliado[[#This Row],[EDAD VICTIMA]],'Rango etareo'!$A$2:$A$25,'Rango etareo'!$B$2:$B$25,,-1)</f>
        <v>&lt;=17</v>
      </c>
      <c r="S120" s="3" t="s">
        <v>21</v>
      </c>
      <c r="T120" s="3" t="str">
        <f>IF(crimenes_cordoba_ampliado[[#This Row],[Género Víctima]]="Masculino","🚹","🚺")</f>
        <v>🚺</v>
      </c>
      <c r="U120">
        <v>2</v>
      </c>
      <c r="V120" s="3" t="s">
        <v>23</v>
      </c>
      <c r="W120" s="3" t="s">
        <v>24</v>
      </c>
      <c r="X120" s="3" t="s">
        <v>24</v>
      </c>
      <c r="Y120" s="3" t="s">
        <v>106</v>
      </c>
      <c r="Z120" s="3" t="s">
        <v>25</v>
      </c>
      <c r="AA120" s="3" t="s">
        <v>23</v>
      </c>
      <c r="AB120" s="3" t="str">
        <f>IF(crimenes_cordoba_ampliado[[#This Row],[Hubo Arresto]]="Sí", "Resuelto", "Pendiente")</f>
        <v>Resuelto</v>
      </c>
      <c r="AC120" s="3" t="s">
        <v>128</v>
      </c>
      <c r="AD120" s="3"/>
    </row>
    <row r="121" spans="1:30" x14ac:dyDescent="0.25">
      <c r="A121">
        <v>392</v>
      </c>
      <c r="B121" s="1">
        <v>42497</v>
      </c>
      <c r="C121" s="33">
        <f t="shared" si="2"/>
        <v>42497</v>
      </c>
      <c r="D121" s="34">
        <f t="shared" si="3"/>
        <v>42497</v>
      </c>
      <c r="E121" s="35" t="s">
        <v>1451</v>
      </c>
      <c r="F121" s="2">
        <v>0.2361111111111111</v>
      </c>
      <c r="G121" s="3" t="s">
        <v>54</v>
      </c>
      <c r="H121" s="3" t="s">
        <v>20</v>
      </c>
      <c r="I121" s="25" t="str">
        <f>VLOOKUP(H121,Tabla5[#All],4,FALSE)</f>
        <v>-31,4800162965848, -64,2094200976892</v>
      </c>
      <c r="J121" s="1">
        <v>22742</v>
      </c>
      <c r="K121" s="7">
        <f>INT((crimenes_cordoba_ampliado[[#This Row],[Fecha]]-crimenes_cordoba_ampliado[[#This Row],[Fecha Nac. Delincuente]])/365)</f>
        <v>54</v>
      </c>
      <c r="L121" s="7" t="str">
        <f>_xlfn.XLOOKUP(crimenes_cordoba_ampliado[[#This Row],[EDAD DELINCUENTE]],'Rango etareo'!$A$10:$A$25,'Rango etareo'!$B$10:$B$25,,-1)</f>
        <v>46 - 55</v>
      </c>
      <c r="M121" s="3" t="s">
        <v>22</v>
      </c>
      <c r="N121" s="3" t="str">
        <f>IF(crimenes_cordoba_ampliado[[#This Row],[Género Delincuente]]="Femenino","🚺","🚹")</f>
        <v>🚹</v>
      </c>
      <c r="O121">
        <v>5</v>
      </c>
      <c r="P121" s="1">
        <v>29570</v>
      </c>
      <c r="Q121" s="7">
        <f>INT((crimenes_cordoba_ampliado[[#This Row],[Fecha]]-crimenes_cordoba_ampliado[[#This Row],[Fecha Nac. Víctima]])/365)</f>
        <v>35</v>
      </c>
      <c r="R121" s="7" t="str">
        <f>_xlfn.XLOOKUP(crimenes_cordoba_ampliado[[#This Row],[EDAD VICTIMA]],'Rango etareo'!$A$2:$A$25,'Rango etareo'!$B$2:$B$25,,-1)</f>
        <v>26 - 35</v>
      </c>
      <c r="S121" s="3" t="s">
        <v>21</v>
      </c>
      <c r="T121" s="3" t="str">
        <f>IF(crimenes_cordoba_ampliado[[#This Row],[Género Víctima]]="Masculino","🚹","🚺")</f>
        <v>🚺</v>
      </c>
      <c r="U121">
        <v>1</v>
      </c>
      <c r="V121" s="3" t="s">
        <v>25</v>
      </c>
      <c r="W121" s="3" t="s">
        <v>24</v>
      </c>
      <c r="X121" s="3" t="s">
        <v>24</v>
      </c>
      <c r="Y121" s="3" t="s">
        <v>53</v>
      </c>
      <c r="Z121" s="3" t="s">
        <v>25</v>
      </c>
      <c r="AA121" s="3" t="s">
        <v>23</v>
      </c>
      <c r="AB121" s="3" t="str">
        <f>IF(crimenes_cordoba_ampliado[[#This Row],[Hubo Arresto]]="Sí", "Resuelto", "Pendiente")</f>
        <v>Pendiente</v>
      </c>
      <c r="AC121" s="3" t="s">
        <v>24</v>
      </c>
      <c r="AD121" s="3"/>
    </row>
    <row r="122" spans="1:30" x14ac:dyDescent="0.25">
      <c r="A122">
        <v>720</v>
      </c>
      <c r="B122" s="1">
        <v>42501</v>
      </c>
      <c r="C122" s="33">
        <f t="shared" si="2"/>
        <v>42501</v>
      </c>
      <c r="D122" s="34">
        <f t="shared" si="3"/>
        <v>42501</v>
      </c>
      <c r="E122" s="35" t="s">
        <v>1450</v>
      </c>
      <c r="F122" s="2">
        <v>0.62430555555555556</v>
      </c>
      <c r="G122" s="3" t="s">
        <v>27</v>
      </c>
      <c r="H122" s="3" t="s">
        <v>55</v>
      </c>
      <c r="I122" s="25" t="str">
        <f>VLOOKUP(H122,Tabla5[#All],4,FALSE)</f>
        <v>-31,4015892433235, -64,160442876477</v>
      </c>
      <c r="J122" s="1">
        <v>28508</v>
      </c>
      <c r="K122" s="7">
        <f>INT((crimenes_cordoba_ampliado[[#This Row],[Fecha]]-crimenes_cordoba_ampliado[[#This Row],[Fecha Nac. Delincuente]])/365)</f>
        <v>38</v>
      </c>
      <c r="L122" s="7" t="str">
        <f>_xlfn.XLOOKUP(crimenes_cordoba_ampliado[[#This Row],[EDAD DELINCUENTE]],'Rango etareo'!$A$10:$A$25,'Rango etareo'!$B$10:$B$25,,-1)</f>
        <v>36 - 45</v>
      </c>
      <c r="M122" s="3" t="s">
        <v>21</v>
      </c>
      <c r="N122" s="3" t="str">
        <f>IF(crimenes_cordoba_ampliado[[#This Row],[Género Delincuente]]="Femenino","🚺","🚹")</f>
        <v>🚺</v>
      </c>
      <c r="O122">
        <v>5</v>
      </c>
      <c r="P122" s="1">
        <v>28481</v>
      </c>
      <c r="Q122" s="7">
        <f>INT((crimenes_cordoba_ampliado[[#This Row],[Fecha]]-crimenes_cordoba_ampliado[[#This Row],[Fecha Nac. Víctima]])/365)</f>
        <v>38</v>
      </c>
      <c r="R122" s="7" t="str">
        <f>_xlfn.XLOOKUP(crimenes_cordoba_ampliado[[#This Row],[EDAD VICTIMA]],'Rango etareo'!$A$2:$A$25,'Rango etareo'!$B$2:$B$25,,-1)</f>
        <v>36 - 45</v>
      </c>
      <c r="S122" s="3" t="s">
        <v>21</v>
      </c>
      <c r="T122" s="3" t="str">
        <f>IF(crimenes_cordoba_ampliado[[#This Row],[Género Víctima]]="Masculino","🚹","🚺")</f>
        <v>🚺</v>
      </c>
      <c r="U122">
        <v>2</v>
      </c>
      <c r="V122" s="3" t="s">
        <v>25</v>
      </c>
      <c r="W122" s="3" t="s">
        <v>24</v>
      </c>
      <c r="X122" s="3" t="s">
        <v>24</v>
      </c>
      <c r="Y122" s="3" t="s">
        <v>56</v>
      </c>
      <c r="Z122" s="3" t="s">
        <v>25</v>
      </c>
      <c r="AA122" s="3" t="s">
        <v>25</v>
      </c>
      <c r="AB122" s="3" t="str">
        <f>IF(crimenes_cordoba_ampliado[[#This Row],[Hubo Arresto]]="Sí", "Resuelto", "Pendiente")</f>
        <v>Pendiente</v>
      </c>
      <c r="AC122" s="3" t="s">
        <v>24</v>
      </c>
      <c r="AD122" s="3"/>
    </row>
    <row r="123" spans="1:30" x14ac:dyDescent="0.25">
      <c r="A123">
        <v>545</v>
      </c>
      <c r="B123" s="1">
        <v>42503</v>
      </c>
      <c r="C123" s="33">
        <f t="shared" si="2"/>
        <v>42503</v>
      </c>
      <c r="D123" s="34">
        <f t="shared" si="3"/>
        <v>42503</v>
      </c>
      <c r="E123" s="35" t="s">
        <v>1455</v>
      </c>
      <c r="F123" s="2">
        <v>0.21111111111111111</v>
      </c>
      <c r="G123" s="3" t="s">
        <v>79</v>
      </c>
      <c r="H123" s="3" t="s">
        <v>32</v>
      </c>
      <c r="I123" s="25" t="str">
        <f>VLOOKUP(H123,Tabla5[#All],4,FALSE)</f>
        <v>-31,4148488101991, -64,1793406489438</v>
      </c>
      <c r="J123" s="1">
        <v>30460</v>
      </c>
      <c r="K123" s="7">
        <f>INT((crimenes_cordoba_ampliado[[#This Row],[Fecha]]-crimenes_cordoba_ampliado[[#This Row],[Fecha Nac. Delincuente]])/365)</f>
        <v>32</v>
      </c>
      <c r="L123" s="7" t="str">
        <f>_xlfn.XLOOKUP(crimenes_cordoba_ampliado[[#This Row],[EDAD DELINCUENTE]],'Rango etareo'!$A$10:$A$25,'Rango etareo'!$B$10:$B$25,,-1)</f>
        <v>26 - 35</v>
      </c>
      <c r="M123" s="3" t="s">
        <v>22</v>
      </c>
      <c r="N123" s="3" t="str">
        <f>IF(crimenes_cordoba_ampliado[[#This Row],[Género Delincuente]]="Femenino","🚺","🚹")</f>
        <v>🚹</v>
      </c>
      <c r="O123">
        <v>1</v>
      </c>
      <c r="P123" s="1">
        <v>21796</v>
      </c>
      <c r="Q123" s="7">
        <f>INT((crimenes_cordoba_ampliado[[#This Row],[Fecha]]-crimenes_cordoba_ampliado[[#This Row],[Fecha Nac. Víctima]])/365)</f>
        <v>56</v>
      </c>
      <c r="R123" s="7" t="str">
        <f>_xlfn.XLOOKUP(crimenes_cordoba_ampliado[[#This Row],[EDAD VICTIMA]],'Rango etareo'!$A$2:$A$25,'Rango etareo'!$B$2:$B$25,,-1)</f>
        <v>56 - 65</v>
      </c>
      <c r="S123" s="3" t="s">
        <v>21</v>
      </c>
      <c r="T123" s="3" t="str">
        <f>IF(crimenes_cordoba_ampliado[[#This Row],[Género Víctima]]="Masculino","🚹","🚺")</f>
        <v>🚺</v>
      </c>
      <c r="U123">
        <v>1</v>
      </c>
      <c r="V123" s="3" t="s">
        <v>25</v>
      </c>
      <c r="W123" s="3" t="s">
        <v>24</v>
      </c>
      <c r="X123" s="3" t="s">
        <v>50</v>
      </c>
      <c r="Y123" s="3" t="s">
        <v>24</v>
      </c>
      <c r="Z123" s="3" t="s">
        <v>25</v>
      </c>
      <c r="AA123" s="3" t="s">
        <v>25</v>
      </c>
      <c r="AB123" s="3" t="str">
        <f>IF(crimenes_cordoba_ampliado[[#This Row],[Hubo Arresto]]="Sí", "Resuelto", "Pendiente")</f>
        <v>Pendiente</v>
      </c>
      <c r="AC123" s="3" t="s">
        <v>24</v>
      </c>
      <c r="AD123" s="3"/>
    </row>
    <row r="124" spans="1:30" x14ac:dyDescent="0.25">
      <c r="A124">
        <v>202</v>
      </c>
      <c r="B124" s="1">
        <v>42507</v>
      </c>
      <c r="C124" s="33">
        <f t="shared" si="2"/>
        <v>42507</v>
      </c>
      <c r="D124" s="34">
        <f t="shared" si="3"/>
        <v>42507</v>
      </c>
      <c r="E124" s="35" t="s">
        <v>1453</v>
      </c>
      <c r="F124" s="2">
        <v>8.6805555555555552E-2</v>
      </c>
      <c r="G124" s="3" t="s">
        <v>31</v>
      </c>
      <c r="H124" s="3" t="s">
        <v>52</v>
      </c>
      <c r="I124" s="25" t="str">
        <f>VLOOKUP(H124,Tabla5[#All],4,FALSE)</f>
        <v>-31,3477902896523, -64,2644406169297</v>
      </c>
      <c r="J124" s="1">
        <v>36518</v>
      </c>
      <c r="K124" s="7">
        <f>INT((crimenes_cordoba_ampliado[[#This Row],[Fecha]]-crimenes_cordoba_ampliado[[#This Row],[Fecha Nac. Delincuente]])/365)</f>
        <v>16</v>
      </c>
      <c r="L124" s="7" t="str">
        <f>_xlfn.XLOOKUP(crimenes_cordoba_ampliado[[#This Row],[EDAD DELINCUENTE]],'Rango etareo'!$A$10:$A$25,'Rango etareo'!$B$10:$B$25,,-1)</f>
        <v>&lt;=17</v>
      </c>
      <c r="M124" s="3" t="s">
        <v>21</v>
      </c>
      <c r="N124" s="3" t="str">
        <f>IF(crimenes_cordoba_ampliado[[#This Row],[Género Delincuente]]="Femenino","🚺","🚹")</f>
        <v>🚺</v>
      </c>
      <c r="O124">
        <v>5</v>
      </c>
      <c r="P124" s="1">
        <v>30077</v>
      </c>
      <c r="Q124" s="7">
        <f>INT((crimenes_cordoba_ampliado[[#This Row],[Fecha]]-crimenes_cordoba_ampliado[[#This Row],[Fecha Nac. Víctima]])/365)</f>
        <v>34</v>
      </c>
      <c r="R124" s="7" t="str">
        <f>_xlfn.XLOOKUP(crimenes_cordoba_ampliado[[#This Row],[EDAD VICTIMA]],'Rango etareo'!$A$2:$A$25,'Rango etareo'!$B$2:$B$25,,-1)</f>
        <v>26 - 35</v>
      </c>
      <c r="S124" s="3" t="s">
        <v>21</v>
      </c>
      <c r="T124" s="3" t="str">
        <f>IF(crimenes_cordoba_ampliado[[#This Row],[Género Víctima]]="Masculino","🚹","🚺")</f>
        <v>🚺</v>
      </c>
      <c r="U124">
        <v>2</v>
      </c>
      <c r="V124" s="3" t="s">
        <v>25</v>
      </c>
      <c r="W124" s="3" t="s">
        <v>24</v>
      </c>
      <c r="X124" s="3" t="s">
        <v>24</v>
      </c>
      <c r="Y124" s="3" t="s">
        <v>113</v>
      </c>
      <c r="Z124" s="3" t="s">
        <v>25</v>
      </c>
      <c r="AA124" s="3" t="s">
        <v>23</v>
      </c>
      <c r="AB124" s="3" t="str">
        <f>IF(crimenes_cordoba_ampliado[[#This Row],[Hubo Arresto]]="Sí", "Resuelto", "Pendiente")</f>
        <v>Pendiente</v>
      </c>
      <c r="AC124" s="3" t="s">
        <v>24</v>
      </c>
      <c r="AD124" s="3"/>
    </row>
    <row r="125" spans="1:30" x14ac:dyDescent="0.25">
      <c r="A125">
        <v>114</v>
      </c>
      <c r="B125" s="1">
        <v>44551</v>
      </c>
      <c r="C125" s="33">
        <f t="shared" si="2"/>
        <v>44551</v>
      </c>
      <c r="D125" s="34">
        <f t="shared" si="3"/>
        <v>44551</v>
      </c>
      <c r="E125" s="35" t="s">
        <v>1453</v>
      </c>
      <c r="F125" s="2">
        <v>0.88194444444444442</v>
      </c>
      <c r="G125" s="3" t="s">
        <v>19</v>
      </c>
      <c r="H125" s="3" t="s">
        <v>55</v>
      </c>
      <c r="I125" s="25" t="str">
        <f>VLOOKUP(H125,Tabla5[#All],4,FALSE)</f>
        <v>-31,4015892433235, -64,160442876477</v>
      </c>
      <c r="J125" s="1">
        <v>34810</v>
      </c>
      <c r="K125" s="7">
        <f>INT((crimenes_cordoba_ampliado[[#This Row],[Fecha]]-crimenes_cordoba_ampliado[[#This Row],[Fecha Nac. Delincuente]])/365)</f>
        <v>26</v>
      </c>
      <c r="L125" s="7" t="str">
        <f>_xlfn.XLOOKUP(crimenes_cordoba_ampliado[[#This Row],[EDAD DELINCUENTE]],'Rango etareo'!$A$10:$A$25,'Rango etareo'!$B$10:$B$25,,-1)</f>
        <v>26 - 35</v>
      </c>
      <c r="M125" s="3" t="s">
        <v>21</v>
      </c>
      <c r="N125" s="3" t="str">
        <f>IF(crimenes_cordoba_ampliado[[#This Row],[Género Delincuente]]="Femenino","🚺","🚹")</f>
        <v>🚺</v>
      </c>
      <c r="O125">
        <v>5</v>
      </c>
      <c r="P125" s="1">
        <v>35440</v>
      </c>
      <c r="Q125" s="7">
        <f>INT((crimenes_cordoba_ampliado[[#This Row],[Fecha]]-crimenes_cordoba_ampliado[[#This Row],[Fecha Nac. Víctima]])/365)</f>
        <v>24</v>
      </c>
      <c r="R125" s="7" t="str">
        <f>_xlfn.XLOOKUP(crimenes_cordoba_ampliado[[#This Row],[EDAD VICTIMA]],'Rango etareo'!$A$2:$A$25,'Rango etareo'!$B$2:$B$25,,-1)</f>
        <v>18 - 25</v>
      </c>
      <c r="S125" s="3" t="s">
        <v>21</v>
      </c>
      <c r="T125" s="3" t="str">
        <f>IF(crimenes_cordoba_ampliado[[#This Row],[Género Víctima]]="Masculino","🚹","🚺")</f>
        <v>🚺</v>
      </c>
      <c r="U125">
        <v>2</v>
      </c>
      <c r="V125" s="3" t="s">
        <v>23</v>
      </c>
      <c r="W125" s="3" t="s">
        <v>24</v>
      </c>
      <c r="X125" s="3" t="s">
        <v>24</v>
      </c>
      <c r="Y125" s="3" t="s">
        <v>98</v>
      </c>
      <c r="Z125" s="3" t="s">
        <v>25</v>
      </c>
      <c r="AA125" s="3" t="s">
        <v>25</v>
      </c>
      <c r="AB125" s="3" t="str">
        <f>IF(crimenes_cordoba_ampliado[[#This Row],[Hubo Arresto]]="Sí", "Resuelto", "Pendiente")</f>
        <v>Resuelto</v>
      </c>
      <c r="AC125" s="3" t="s">
        <v>129</v>
      </c>
      <c r="AD125" s="3"/>
    </row>
    <row r="126" spans="1:30" x14ac:dyDescent="0.25">
      <c r="A126">
        <v>116</v>
      </c>
      <c r="B126" s="1">
        <v>42629</v>
      </c>
      <c r="C126" s="33">
        <f t="shared" si="2"/>
        <v>42629</v>
      </c>
      <c r="D126" s="34">
        <f t="shared" si="3"/>
        <v>42629</v>
      </c>
      <c r="E126" s="35" t="s">
        <v>1455</v>
      </c>
      <c r="F126" s="2">
        <v>0.28819444444444442</v>
      </c>
      <c r="G126" s="3" t="s">
        <v>48</v>
      </c>
      <c r="H126" s="3" t="s">
        <v>49</v>
      </c>
      <c r="I126" s="25" t="str">
        <f>VLOOKUP(H126,Tabla5[#All],4,FALSE)</f>
        <v>-31,4506257494184, -64,1733054344705</v>
      </c>
      <c r="J126" s="1">
        <v>35004</v>
      </c>
      <c r="K126" s="7">
        <f>INT((crimenes_cordoba_ampliado[[#This Row],[Fecha]]-crimenes_cordoba_ampliado[[#This Row],[Fecha Nac. Delincuente]])/365)</f>
        <v>20</v>
      </c>
      <c r="L126" s="7" t="str">
        <f>_xlfn.XLOOKUP(crimenes_cordoba_ampliado[[#This Row],[EDAD DELINCUENTE]],'Rango etareo'!$A$10:$A$25,'Rango etareo'!$B$10:$B$25,,-1)</f>
        <v>18 - 25</v>
      </c>
      <c r="M126" s="3" t="s">
        <v>21</v>
      </c>
      <c r="N126" s="3" t="str">
        <f>IF(crimenes_cordoba_ampliado[[#This Row],[Género Delincuente]]="Femenino","🚺","🚹")</f>
        <v>🚺</v>
      </c>
      <c r="O126">
        <v>4</v>
      </c>
      <c r="P126" s="1">
        <v>29460</v>
      </c>
      <c r="Q126" s="7">
        <f>INT((crimenes_cordoba_ampliado[[#This Row],[Fecha]]-crimenes_cordoba_ampliado[[#This Row],[Fecha Nac. Víctima]])/365)</f>
        <v>36</v>
      </c>
      <c r="R126" s="7" t="str">
        <f>_xlfn.XLOOKUP(crimenes_cordoba_ampliado[[#This Row],[EDAD VICTIMA]],'Rango etareo'!$A$2:$A$25,'Rango etareo'!$B$2:$B$25,,-1)</f>
        <v>36 - 45</v>
      </c>
      <c r="S126" s="3" t="s">
        <v>22</v>
      </c>
      <c r="T126" s="3" t="str">
        <f>IF(crimenes_cordoba_ampliado[[#This Row],[Género Víctima]]="Masculino","🚹","🚺")</f>
        <v>🚹</v>
      </c>
      <c r="U126">
        <v>3</v>
      </c>
      <c r="V126" s="3" t="s">
        <v>23</v>
      </c>
      <c r="W126" s="3" t="s">
        <v>24</v>
      </c>
      <c r="X126" s="3" t="s">
        <v>24</v>
      </c>
      <c r="Y126" s="3" t="s">
        <v>53</v>
      </c>
      <c r="Z126" s="3" t="s">
        <v>25</v>
      </c>
      <c r="AA126" s="3" t="s">
        <v>23</v>
      </c>
      <c r="AB126" s="3" t="str">
        <f>IF(crimenes_cordoba_ampliado[[#This Row],[Hubo Arresto]]="Sí", "Resuelto", "Pendiente")</f>
        <v>Resuelto</v>
      </c>
      <c r="AC126" s="3" t="s">
        <v>130</v>
      </c>
      <c r="AD126" s="3"/>
    </row>
    <row r="127" spans="1:30" x14ac:dyDescent="0.25">
      <c r="A127">
        <v>57</v>
      </c>
      <c r="B127" s="1">
        <v>42518</v>
      </c>
      <c r="C127" s="33">
        <f t="shared" si="2"/>
        <v>42518</v>
      </c>
      <c r="D127" s="34">
        <f t="shared" si="3"/>
        <v>42518</v>
      </c>
      <c r="E127" s="35" t="s">
        <v>1451</v>
      </c>
      <c r="F127" s="2">
        <v>0.7729166666666667</v>
      </c>
      <c r="G127" s="3" t="s">
        <v>27</v>
      </c>
      <c r="H127" s="3" t="s">
        <v>28</v>
      </c>
      <c r="I127" s="25" t="str">
        <f>VLOOKUP(H127,Tabla5[#All],4,FALSE)</f>
        <v>-31,4129883640337, -64,1681120522587</v>
      </c>
      <c r="J127" s="1">
        <v>23927</v>
      </c>
      <c r="K127" s="7">
        <f>INT((crimenes_cordoba_ampliado[[#This Row],[Fecha]]-crimenes_cordoba_ampliado[[#This Row],[Fecha Nac. Delincuente]])/365)</f>
        <v>50</v>
      </c>
      <c r="L127" s="7" t="str">
        <f>_xlfn.XLOOKUP(crimenes_cordoba_ampliado[[#This Row],[EDAD DELINCUENTE]],'Rango etareo'!$A$10:$A$25,'Rango etareo'!$B$10:$B$25,,-1)</f>
        <v>46 - 55</v>
      </c>
      <c r="M127" s="3" t="s">
        <v>21</v>
      </c>
      <c r="N127" s="3" t="str">
        <f>IF(crimenes_cordoba_ampliado[[#This Row],[Género Delincuente]]="Femenino","🚺","🚹")</f>
        <v>🚺</v>
      </c>
      <c r="O127">
        <v>2</v>
      </c>
      <c r="P127" s="1">
        <v>34202</v>
      </c>
      <c r="Q127" s="7">
        <f>INT((crimenes_cordoba_ampliado[[#This Row],[Fecha]]-crimenes_cordoba_ampliado[[#This Row],[Fecha Nac. Víctima]])/365)</f>
        <v>22</v>
      </c>
      <c r="R127" s="7" t="str">
        <f>_xlfn.XLOOKUP(crimenes_cordoba_ampliado[[#This Row],[EDAD VICTIMA]],'Rango etareo'!$A$2:$A$25,'Rango etareo'!$B$2:$B$25,,-1)</f>
        <v>18 - 25</v>
      </c>
      <c r="S127" s="3" t="s">
        <v>22</v>
      </c>
      <c r="T127" s="3" t="str">
        <f>IF(crimenes_cordoba_ampliado[[#This Row],[Género Víctima]]="Masculino","🚹","🚺")</f>
        <v>🚹</v>
      </c>
      <c r="U127">
        <v>1</v>
      </c>
      <c r="V127" s="3" t="s">
        <v>25</v>
      </c>
      <c r="W127" s="3" t="s">
        <v>63</v>
      </c>
      <c r="X127" s="3" t="s">
        <v>29</v>
      </c>
      <c r="Y127" s="3" t="s">
        <v>24</v>
      </c>
      <c r="Z127" s="3" t="s">
        <v>25</v>
      </c>
      <c r="AA127" s="3" t="s">
        <v>23</v>
      </c>
      <c r="AB127" s="3" t="str">
        <f>IF(crimenes_cordoba_ampliado[[#This Row],[Hubo Arresto]]="Sí", "Resuelto", "Pendiente")</f>
        <v>Pendiente</v>
      </c>
      <c r="AC127" s="3" t="s">
        <v>24</v>
      </c>
      <c r="AD127" s="3"/>
    </row>
    <row r="128" spans="1:30" x14ac:dyDescent="0.25">
      <c r="A128">
        <v>968</v>
      </c>
      <c r="B128" s="1">
        <v>42521</v>
      </c>
      <c r="C128" s="33">
        <f t="shared" si="2"/>
        <v>42521</v>
      </c>
      <c r="D128" s="34">
        <f t="shared" si="3"/>
        <v>42521</v>
      </c>
      <c r="E128" s="35" t="s">
        <v>1453</v>
      </c>
      <c r="F128" s="2">
        <v>0.32708333333333334</v>
      </c>
      <c r="G128" s="3" t="s">
        <v>19</v>
      </c>
      <c r="H128" s="3" t="s">
        <v>70</v>
      </c>
      <c r="I128" s="25" t="str">
        <f>VLOOKUP(H128,Tabla5[#All],4,FALSE)</f>
        <v>-31,3759272890294, -64,2284587792478</v>
      </c>
      <c r="J128" s="1">
        <v>19891</v>
      </c>
      <c r="K128" s="7">
        <f>INT((crimenes_cordoba_ampliado[[#This Row],[Fecha]]-crimenes_cordoba_ampliado[[#This Row],[Fecha Nac. Delincuente]])/365)</f>
        <v>62</v>
      </c>
      <c r="L128" s="7" t="str">
        <f>_xlfn.XLOOKUP(crimenes_cordoba_ampliado[[#This Row],[EDAD DELINCUENTE]],'Rango etareo'!$A$10:$A$25,'Rango etareo'!$B$10:$B$25,,-1)</f>
        <v>56 - 65</v>
      </c>
      <c r="M128" s="3" t="s">
        <v>22</v>
      </c>
      <c r="N128" s="3" t="str">
        <f>IF(crimenes_cordoba_ampliado[[#This Row],[Género Delincuente]]="Femenino","🚺","🚹")</f>
        <v>🚹</v>
      </c>
      <c r="O128">
        <v>4</v>
      </c>
      <c r="P128" s="1">
        <v>39742</v>
      </c>
      <c r="Q128" s="7">
        <f>INT((crimenes_cordoba_ampliado[[#This Row],[Fecha]]-crimenes_cordoba_ampliado[[#This Row],[Fecha Nac. Víctima]])/365)</f>
        <v>7</v>
      </c>
      <c r="R128" s="7" t="str">
        <f>_xlfn.XLOOKUP(crimenes_cordoba_ampliado[[#This Row],[EDAD VICTIMA]],'Rango etareo'!$A$2:$A$25,'Rango etareo'!$B$2:$B$25,,-1)</f>
        <v>&lt;=17</v>
      </c>
      <c r="S128" s="3" t="s">
        <v>22</v>
      </c>
      <c r="T128" s="3" t="str">
        <f>IF(crimenes_cordoba_ampliado[[#This Row],[Género Víctima]]="Masculino","🚹","🚺")</f>
        <v>🚹</v>
      </c>
      <c r="U128">
        <v>2</v>
      </c>
      <c r="V128" s="3" t="s">
        <v>25</v>
      </c>
      <c r="W128" s="3" t="s">
        <v>24</v>
      </c>
      <c r="X128" s="3" t="s">
        <v>24</v>
      </c>
      <c r="Y128" s="3" t="s">
        <v>53</v>
      </c>
      <c r="Z128" s="3" t="s">
        <v>23</v>
      </c>
      <c r="AA128" s="3" t="s">
        <v>25</v>
      </c>
      <c r="AB128" s="3" t="str">
        <f>IF(crimenes_cordoba_ampliado[[#This Row],[Hubo Arresto]]="Sí", "Resuelto", "Pendiente")</f>
        <v>Pendiente</v>
      </c>
      <c r="AC128" s="3" t="s">
        <v>24</v>
      </c>
      <c r="AD128" s="3"/>
    </row>
    <row r="129" spans="1:30" x14ac:dyDescent="0.25">
      <c r="A129">
        <v>123</v>
      </c>
      <c r="B129" s="1">
        <v>43479</v>
      </c>
      <c r="C129" s="33">
        <f t="shared" si="2"/>
        <v>43479</v>
      </c>
      <c r="D129" s="34">
        <f t="shared" si="3"/>
        <v>43479</v>
      </c>
      <c r="E129" s="35" t="s">
        <v>1452</v>
      </c>
      <c r="F129" s="2">
        <v>0.91527777777777775</v>
      </c>
      <c r="G129" s="3" t="s">
        <v>38</v>
      </c>
      <c r="H129" s="3" t="s">
        <v>62</v>
      </c>
      <c r="I129" s="25" t="str">
        <f>VLOOKUP(H129,Tabla5[#All],4,FALSE)</f>
        <v>-31,3909520937826, -64,1836424491715</v>
      </c>
      <c r="J129" s="1">
        <v>20131</v>
      </c>
      <c r="K129" s="7">
        <f>INT((crimenes_cordoba_ampliado[[#This Row],[Fecha]]-crimenes_cordoba_ampliado[[#This Row],[Fecha Nac. Delincuente]])/365)</f>
        <v>63</v>
      </c>
      <c r="L129" s="7" t="str">
        <f>_xlfn.XLOOKUP(crimenes_cordoba_ampliado[[#This Row],[EDAD DELINCUENTE]],'Rango etareo'!$A$10:$A$25,'Rango etareo'!$B$10:$B$25,,-1)</f>
        <v>56 - 65</v>
      </c>
      <c r="M129" s="3" t="s">
        <v>22</v>
      </c>
      <c r="N129" s="3" t="str">
        <f>IF(crimenes_cordoba_ampliado[[#This Row],[Género Delincuente]]="Femenino","🚺","🚹")</f>
        <v>🚹</v>
      </c>
      <c r="O129">
        <v>4</v>
      </c>
      <c r="P129" s="1">
        <v>22964</v>
      </c>
      <c r="Q129" s="7">
        <f>INT((crimenes_cordoba_ampliado[[#This Row],[Fecha]]-crimenes_cordoba_ampliado[[#This Row],[Fecha Nac. Víctima]])/365)</f>
        <v>56</v>
      </c>
      <c r="R129" s="7" t="str">
        <f>_xlfn.XLOOKUP(crimenes_cordoba_ampliado[[#This Row],[EDAD VICTIMA]],'Rango etareo'!$A$2:$A$25,'Rango etareo'!$B$2:$B$25,,-1)</f>
        <v>56 - 65</v>
      </c>
      <c r="S129" s="3" t="s">
        <v>21</v>
      </c>
      <c r="T129" s="3" t="str">
        <f>IF(crimenes_cordoba_ampliado[[#This Row],[Género Víctima]]="Masculino","🚹","🚺")</f>
        <v>🚺</v>
      </c>
      <c r="U129">
        <v>2</v>
      </c>
      <c r="V129" s="3" t="s">
        <v>23</v>
      </c>
      <c r="W129" s="3" t="s">
        <v>83</v>
      </c>
      <c r="X129" s="3" t="s">
        <v>50</v>
      </c>
      <c r="Y129" s="3" t="s">
        <v>24</v>
      </c>
      <c r="Z129" s="3" t="s">
        <v>25</v>
      </c>
      <c r="AA129" s="3" t="s">
        <v>25</v>
      </c>
      <c r="AB129" s="3" t="str">
        <f>IF(crimenes_cordoba_ampliado[[#This Row],[Hubo Arresto]]="Sí", "Resuelto", "Pendiente")</f>
        <v>Resuelto</v>
      </c>
      <c r="AC129" s="3" t="s">
        <v>131</v>
      </c>
      <c r="AD129" s="3"/>
    </row>
    <row r="130" spans="1:30" x14ac:dyDescent="0.25">
      <c r="A130">
        <v>126</v>
      </c>
      <c r="B130" s="1">
        <v>45577</v>
      </c>
      <c r="C130" s="33">
        <f t="shared" ref="C130:C193" si="4">B:B</f>
        <v>45577</v>
      </c>
      <c r="D130" s="34">
        <f t="shared" ref="D130:D193" si="5">B:B</f>
        <v>45577</v>
      </c>
      <c r="E130" s="35" t="s">
        <v>1451</v>
      </c>
      <c r="F130" s="2">
        <v>0.67500000000000004</v>
      </c>
      <c r="G130" s="3" t="s">
        <v>48</v>
      </c>
      <c r="H130" s="3" t="s">
        <v>55</v>
      </c>
      <c r="I130" s="25" t="str">
        <f>VLOOKUP(H130,Tabla5[#All],4,FALSE)</f>
        <v>-31,4015892433235, -64,160442876477</v>
      </c>
      <c r="J130" s="1">
        <v>27689</v>
      </c>
      <c r="K130" s="7">
        <f>INT((crimenes_cordoba_ampliado[[#This Row],[Fecha]]-crimenes_cordoba_ampliado[[#This Row],[Fecha Nac. Delincuente]])/365)</f>
        <v>49</v>
      </c>
      <c r="L130" s="7" t="str">
        <f>_xlfn.XLOOKUP(crimenes_cordoba_ampliado[[#This Row],[EDAD DELINCUENTE]],'Rango etareo'!$A$10:$A$25,'Rango etareo'!$B$10:$B$25,,-1)</f>
        <v>46 - 55</v>
      </c>
      <c r="M130" s="3" t="s">
        <v>22</v>
      </c>
      <c r="N130" s="3" t="str">
        <f>IF(crimenes_cordoba_ampliado[[#This Row],[Género Delincuente]]="Femenino","🚺","🚹")</f>
        <v>🚹</v>
      </c>
      <c r="O130">
        <v>2</v>
      </c>
      <c r="P130" s="1">
        <v>24626</v>
      </c>
      <c r="Q130" s="7">
        <f>INT((crimenes_cordoba_ampliado[[#This Row],[Fecha]]-crimenes_cordoba_ampliado[[#This Row],[Fecha Nac. Víctima]])/365)</f>
        <v>57</v>
      </c>
      <c r="R130" s="7" t="str">
        <f>_xlfn.XLOOKUP(crimenes_cordoba_ampliado[[#This Row],[EDAD VICTIMA]],'Rango etareo'!$A$2:$A$25,'Rango etareo'!$B$2:$B$25,,-1)</f>
        <v>56 - 65</v>
      </c>
      <c r="S130" s="3" t="s">
        <v>22</v>
      </c>
      <c r="T130" s="3" t="str">
        <f>IF(crimenes_cordoba_ampliado[[#This Row],[Género Víctima]]="Masculino","🚹","🚺")</f>
        <v>🚹</v>
      </c>
      <c r="U130">
        <v>3</v>
      </c>
      <c r="V130" s="3" t="s">
        <v>23</v>
      </c>
      <c r="W130" s="3" t="s">
        <v>24</v>
      </c>
      <c r="X130" s="3" t="s">
        <v>24</v>
      </c>
      <c r="Y130" s="3" t="s">
        <v>53</v>
      </c>
      <c r="Z130" s="3" t="s">
        <v>23</v>
      </c>
      <c r="AA130" s="3" t="s">
        <v>23</v>
      </c>
      <c r="AB130" s="3" t="str">
        <f>IF(crimenes_cordoba_ampliado[[#This Row],[Hubo Arresto]]="Sí", "Resuelto", "Pendiente")</f>
        <v>Resuelto</v>
      </c>
      <c r="AC130" s="3" t="s">
        <v>132</v>
      </c>
      <c r="AD130" s="3"/>
    </row>
    <row r="131" spans="1:30" x14ac:dyDescent="0.25">
      <c r="A131">
        <v>267</v>
      </c>
      <c r="B131" s="1">
        <v>42525</v>
      </c>
      <c r="C131" s="33">
        <f t="shared" si="4"/>
        <v>42525</v>
      </c>
      <c r="D131" s="34">
        <f t="shared" si="5"/>
        <v>42525</v>
      </c>
      <c r="E131" s="35" t="s">
        <v>1451</v>
      </c>
      <c r="F131" s="2">
        <v>0.40416666666666667</v>
      </c>
      <c r="G131" s="3" t="s">
        <v>54</v>
      </c>
      <c r="H131" s="3" t="s">
        <v>55</v>
      </c>
      <c r="I131" s="25" t="str">
        <f>VLOOKUP(H131,Tabla5[#All],4,FALSE)</f>
        <v>-31,4015892433235, -64,160442876477</v>
      </c>
      <c r="J131" s="1">
        <v>25721</v>
      </c>
      <c r="K131" s="7">
        <f>INT((crimenes_cordoba_ampliado[[#This Row],[Fecha]]-crimenes_cordoba_ampliado[[#This Row],[Fecha Nac. Delincuente]])/365)</f>
        <v>46</v>
      </c>
      <c r="L131" s="7" t="str">
        <f>_xlfn.XLOOKUP(crimenes_cordoba_ampliado[[#This Row],[EDAD DELINCUENTE]],'Rango etareo'!$A$10:$A$25,'Rango etareo'!$B$10:$B$25,,-1)</f>
        <v>46 - 55</v>
      </c>
      <c r="M131" s="3" t="s">
        <v>22</v>
      </c>
      <c r="N131" s="3" t="str">
        <f>IF(crimenes_cordoba_ampliado[[#This Row],[Género Delincuente]]="Femenino","🚺","🚹")</f>
        <v>🚹</v>
      </c>
      <c r="O131">
        <v>3</v>
      </c>
      <c r="P131" s="1">
        <v>27260</v>
      </c>
      <c r="Q131" s="7">
        <f>INT((crimenes_cordoba_ampliado[[#This Row],[Fecha]]-crimenes_cordoba_ampliado[[#This Row],[Fecha Nac. Víctima]])/365)</f>
        <v>41</v>
      </c>
      <c r="R131" s="7" t="str">
        <f>_xlfn.XLOOKUP(crimenes_cordoba_ampliado[[#This Row],[EDAD VICTIMA]],'Rango etareo'!$A$2:$A$25,'Rango etareo'!$B$2:$B$25,,-1)</f>
        <v>36 - 45</v>
      </c>
      <c r="S131" s="3" t="s">
        <v>21</v>
      </c>
      <c r="T131" s="3" t="str">
        <f>IF(crimenes_cordoba_ampliado[[#This Row],[Género Víctima]]="Masculino","🚹","🚺")</f>
        <v>🚺</v>
      </c>
      <c r="U131">
        <v>3</v>
      </c>
      <c r="V131" s="3" t="s">
        <v>25</v>
      </c>
      <c r="W131" s="3" t="s">
        <v>24</v>
      </c>
      <c r="X131" s="3" t="s">
        <v>24</v>
      </c>
      <c r="Y131" s="3" t="s">
        <v>43</v>
      </c>
      <c r="Z131" s="3" t="s">
        <v>25</v>
      </c>
      <c r="AA131" s="3" t="s">
        <v>25</v>
      </c>
      <c r="AB131" s="3" t="str">
        <f>IF(crimenes_cordoba_ampliado[[#This Row],[Hubo Arresto]]="Sí", "Resuelto", "Pendiente")</f>
        <v>Pendiente</v>
      </c>
      <c r="AC131" s="3" t="s">
        <v>24</v>
      </c>
      <c r="AD131" s="3"/>
    </row>
    <row r="132" spans="1:30" x14ac:dyDescent="0.25">
      <c r="A132">
        <v>128</v>
      </c>
      <c r="B132" s="1">
        <v>43888</v>
      </c>
      <c r="C132" s="33">
        <f t="shared" si="4"/>
        <v>43888</v>
      </c>
      <c r="D132" s="34">
        <f t="shared" si="5"/>
        <v>43888</v>
      </c>
      <c r="E132" s="35" t="s">
        <v>1454</v>
      </c>
      <c r="F132" s="2">
        <v>0.76249999999999996</v>
      </c>
      <c r="G132" s="3" t="s">
        <v>81</v>
      </c>
      <c r="H132" s="3" t="s">
        <v>40</v>
      </c>
      <c r="I132" s="25" t="str">
        <f>VLOOKUP(H132,Tabla5[#All],4,FALSE)</f>
        <v>-31,334500143441, -64,2460773260564</v>
      </c>
      <c r="J132" s="1">
        <v>34401</v>
      </c>
      <c r="K132" s="7">
        <f>INT((crimenes_cordoba_ampliado[[#This Row],[Fecha]]-crimenes_cordoba_ampliado[[#This Row],[Fecha Nac. Delincuente]])/365)</f>
        <v>25</v>
      </c>
      <c r="L132" s="7" t="str">
        <f>_xlfn.XLOOKUP(crimenes_cordoba_ampliado[[#This Row],[EDAD DELINCUENTE]],'Rango etareo'!$A$10:$A$25,'Rango etareo'!$B$10:$B$25,,-1)</f>
        <v>18 - 25</v>
      </c>
      <c r="M132" s="3" t="s">
        <v>22</v>
      </c>
      <c r="N132" s="3" t="str">
        <f>IF(crimenes_cordoba_ampliado[[#This Row],[Género Delincuente]]="Femenino","🚺","🚹")</f>
        <v>🚹</v>
      </c>
      <c r="O132">
        <v>4</v>
      </c>
      <c r="P132" s="1">
        <v>16550</v>
      </c>
      <c r="Q132" s="7">
        <f>INT((crimenes_cordoba_ampliado[[#This Row],[Fecha]]-crimenes_cordoba_ampliado[[#This Row],[Fecha Nac. Víctima]])/365)</f>
        <v>74</v>
      </c>
      <c r="R132" s="7" t="str">
        <f>_xlfn.XLOOKUP(crimenes_cordoba_ampliado[[#This Row],[EDAD VICTIMA]],'Rango etareo'!$A$2:$A$25,'Rango etareo'!$B$2:$B$25,,-1)</f>
        <v>&gt;65</v>
      </c>
      <c r="S132" s="3" t="s">
        <v>22</v>
      </c>
      <c r="T132" s="3" t="str">
        <f>IF(crimenes_cordoba_ampliado[[#This Row],[Género Víctima]]="Masculino","🚹","🚺")</f>
        <v>🚹</v>
      </c>
      <c r="U132">
        <v>1</v>
      </c>
      <c r="V132" s="3" t="s">
        <v>23</v>
      </c>
      <c r="W132" s="3" t="s">
        <v>24</v>
      </c>
      <c r="X132" s="3" t="s">
        <v>24</v>
      </c>
      <c r="Y132" s="3" t="s">
        <v>133</v>
      </c>
      <c r="Z132" s="3" t="s">
        <v>23</v>
      </c>
      <c r="AA132" s="3" t="s">
        <v>25</v>
      </c>
      <c r="AB132" s="3" t="str">
        <f>IF(crimenes_cordoba_ampliado[[#This Row],[Hubo Arresto]]="Sí", "Resuelto", "Pendiente")</f>
        <v>Resuelto</v>
      </c>
      <c r="AC132" s="3" t="s">
        <v>93</v>
      </c>
      <c r="AD132" s="3"/>
    </row>
    <row r="133" spans="1:30" x14ac:dyDescent="0.25">
      <c r="A133">
        <v>197</v>
      </c>
      <c r="B133" s="1">
        <v>42529</v>
      </c>
      <c r="C133" s="33">
        <f t="shared" si="4"/>
        <v>42529</v>
      </c>
      <c r="D133" s="34">
        <f t="shared" si="5"/>
        <v>42529</v>
      </c>
      <c r="E133" s="35" t="s">
        <v>1450</v>
      </c>
      <c r="F133" s="2">
        <v>0.12152777777777778</v>
      </c>
      <c r="G133" s="3" t="s">
        <v>45</v>
      </c>
      <c r="H133" s="3" t="s">
        <v>49</v>
      </c>
      <c r="I133" s="25" t="str">
        <f>VLOOKUP(H133,Tabla5[#All],4,FALSE)</f>
        <v>-31,4506257494184, -64,1733054344705</v>
      </c>
      <c r="J133" s="1">
        <v>25529</v>
      </c>
      <c r="K133" s="7">
        <f>INT((crimenes_cordoba_ampliado[[#This Row],[Fecha]]-crimenes_cordoba_ampliado[[#This Row],[Fecha Nac. Delincuente]])/365)</f>
        <v>46</v>
      </c>
      <c r="L133" s="7" t="str">
        <f>_xlfn.XLOOKUP(crimenes_cordoba_ampliado[[#This Row],[EDAD DELINCUENTE]],'Rango etareo'!$A$10:$A$25,'Rango etareo'!$B$10:$B$25,,-1)</f>
        <v>46 - 55</v>
      </c>
      <c r="M133" s="3" t="s">
        <v>22</v>
      </c>
      <c r="N133" s="3" t="str">
        <f>IF(crimenes_cordoba_ampliado[[#This Row],[Género Delincuente]]="Femenino","🚺","🚹")</f>
        <v>🚹</v>
      </c>
      <c r="O133">
        <v>4</v>
      </c>
      <c r="P133" s="1">
        <v>34672</v>
      </c>
      <c r="Q133" s="7">
        <f>INT((crimenes_cordoba_ampliado[[#This Row],[Fecha]]-crimenes_cordoba_ampliado[[#This Row],[Fecha Nac. Víctima]])/365)</f>
        <v>21</v>
      </c>
      <c r="R133" s="7" t="str">
        <f>_xlfn.XLOOKUP(crimenes_cordoba_ampliado[[#This Row],[EDAD VICTIMA]],'Rango etareo'!$A$2:$A$25,'Rango etareo'!$B$2:$B$25,,-1)</f>
        <v>18 - 25</v>
      </c>
      <c r="S133" s="3" t="s">
        <v>22</v>
      </c>
      <c r="T133" s="3" t="str">
        <f>IF(crimenes_cordoba_ampliado[[#This Row],[Género Víctima]]="Masculino","🚹","🚺")</f>
        <v>🚹</v>
      </c>
      <c r="U133">
        <v>1</v>
      </c>
      <c r="V133" s="3" t="s">
        <v>25</v>
      </c>
      <c r="W133" s="3" t="s">
        <v>24</v>
      </c>
      <c r="X133" s="3" t="s">
        <v>24</v>
      </c>
      <c r="Y133" s="3" t="s">
        <v>106</v>
      </c>
      <c r="Z133" s="3" t="s">
        <v>25</v>
      </c>
      <c r="AA133" s="3" t="s">
        <v>23</v>
      </c>
      <c r="AB133" s="3" t="str">
        <f>IF(crimenes_cordoba_ampliado[[#This Row],[Hubo Arresto]]="Sí", "Resuelto", "Pendiente")</f>
        <v>Pendiente</v>
      </c>
      <c r="AC133" s="3" t="s">
        <v>24</v>
      </c>
      <c r="AD133" s="3"/>
    </row>
    <row r="134" spans="1:30" x14ac:dyDescent="0.25">
      <c r="A134">
        <v>130</v>
      </c>
      <c r="B134" s="1">
        <v>43058</v>
      </c>
      <c r="C134" s="33">
        <f t="shared" si="4"/>
        <v>43058</v>
      </c>
      <c r="D134" s="34">
        <f t="shared" si="5"/>
        <v>43058</v>
      </c>
      <c r="E134" s="35" t="s">
        <v>1449</v>
      </c>
      <c r="F134" s="2">
        <v>0.82430555555555551</v>
      </c>
      <c r="G134" s="3" t="s">
        <v>45</v>
      </c>
      <c r="H134" s="3" t="s">
        <v>40</v>
      </c>
      <c r="I134" s="25" t="str">
        <f>VLOOKUP(H134,Tabla5[#All],4,FALSE)</f>
        <v>-31,334500143441, -64,2460773260564</v>
      </c>
      <c r="J134" s="1">
        <v>32996</v>
      </c>
      <c r="K134" s="7">
        <f>INT((crimenes_cordoba_ampliado[[#This Row],[Fecha]]-crimenes_cordoba_ampliado[[#This Row],[Fecha Nac. Delincuente]])/365)</f>
        <v>27</v>
      </c>
      <c r="L134" s="7" t="str">
        <f>_xlfn.XLOOKUP(crimenes_cordoba_ampliado[[#This Row],[EDAD DELINCUENTE]],'Rango etareo'!$A$10:$A$25,'Rango etareo'!$B$10:$B$25,,-1)</f>
        <v>26 - 35</v>
      </c>
      <c r="M134" s="3" t="s">
        <v>21</v>
      </c>
      <c r="N134" s="3" t="str">
        <f>IF(crimenes_cordoba_ampliado[[#This Row],[Género Delincuente]]="Femenino","🚺","🚹")</f>
        <v>🚺</v>
      </c>
      <c r="O134">
        <v>5</v>
      </c>
      <c r="P134" s="1">
        <v>17036</v>
      </c>
      <c r="Q134" s="7">
        <f>INT((crimenes_cordoba_ampliado[[#This Row],[Fecha]]-crimenes_cordoba_ampliado[[#This Row],[Fecha Nac. Víctima]])/365)</f>
        <v>71</v>
      </c>
      <c r="R134" s="7" t="str">
        <f>_xlfn.XLOOKUP(crimenes_cordoba_ampliado[[#This Row],[EDAD VICTIMA]],'Rango etareo'!$A$2:$A$25,'Rango etareo'!$B$2:$B$25,,-1)</f>
        <v>&gt;65</v>
      </c>
      <c r="S134" s="3" t="s">
        <v>21</v>
      </c>
      <c r="T134" s="3" t="str">
        <f>IF(crimenes_cordoba_ampliado[[#This Row],[Género Víctima]]="Masculino","🚹","🚺")</f>
        <v>🚺</v>
      </c>
      <c r="U134">
        <v>2</v>
      </c>
      <c r="V134" s="3" t="s">
        <v>23</v>
      </c>
      <c r="W134" s="3" t="s">
        <v>24</v>
      </c>
      <c r="X134" s="3" t="s">
        <v>24</v>
      </c>
      <c r="Y134" s="3" t="s">
        <v>80</v>
      </c>
      <c r="Z134" s="3" t="s">
        <v>23</v>
      </c>
      <c r="AA134" s="3" t="s">
        <v>23</v>
      </c>
      <c r="AB134" s="3" t="str">
        <f>IF(crimenes_cordoba_ampliado[[#This Row],[Hubo Arresto]]="Sí", "Resuelto", "Pendiente")</f>
        <v>Resuelto</v>
      </c>
      <c r="AC134" s="3" t="s">
        <v>134</v>
      </c>
      <c r="AD134" s="3"/>
    </row>
    <row r="135" spans="1:30" x14ac:dyDescent="0.25">
      <c r="A135">
        <v>672</v>
      </c>
      <c r="B135" s="1">
        <v>42531</v>
      </c>
      <c r="C135" s="33">
        <f t="shared" si="4"/>
        <v>42531</v>
      </c>
      <c r="D135" s="34">
        <f t="shared" si="5"/>
        <v>42531</v>
      </c>
      <c r="E135" s="35" t="s">
        <v>1455</v>
      </c>
      <c r="F135" s="2">
        <v>0.95</v>
      </c>
      <c r="G135" s="3" t="s">
        <v>51</v>
      </c>
      <c r="H135" s="3" t="s">
        <v>65</v>
      </c>
      <c r="I135" s="25" t="str">
        <f>VLOOKUP(H135,Tabla5[#All],4,FALSE)</f>
        <v>-31,4285567311661, -64,1853198281007</v>
      </c>
      <c r="J135" s="1">
        <v>29475</v>
      </c>
      <c r="K135" s="7">
        <f>INT((crimenes_cordoba_ampliado[[#This Row],[Fecha]]-crimenes_cordoba_ampliado[[#This Row],[Fecha Nac. Delincuente]])/365)</f>
        <v>35</v>
      </c>
      <c r="L135" s="7" t="str">
        <f>_xlfn.XLOOKUP(crimenes_cordoba_ampliado[[#This Row],[EDAD DELINCUENTE]],'Rango etareo'!$A$10:$A$25,'Rango etareo'!$B$10:$B$25,,-1)</f>
        <v>26 - 35</v>
      </c>
      <c r="M135" s="3" t="s">
        <v>22</v>
      </c>
      <c r="N135" s="3" t="str">
        <f>IF(crimenes_cordoba_ampliado[[#This Row],[Género Delincuente]]="Femenino","🚺","🚹")</f>
        <v>🚹</v>
      </c>
      <c r="O135">
        <v>3</v>
      </c>
      <c r="P135" s="1">
        <v>39156</v>
      </c>
      <c r="Q135" s="7">
        <f>INT((crimenes_cordoba_ampliado[[#This Row],[Fecha]]-crimenes_cordoba_ampliado[[#This Row],[Fecha Nac. Víctima]])/365)</f>
        <v>9</v>
      </c>
      <c r="R135" s="7" t="str">
        <f>_xlfn.XLOOKUP(crimenes_cordoba_ampliado[[#This Row],[EDAD VICTIMA]],'Rango etareo'!$A$2:$A$25,'Rango etareo'!$B$2:$B$25,,-1)</f>
        <v>&lt;=17</v>
      </c>
      <c r="S135" s="3" t="s">
        <v>21</v>
      </c>
      <c r="T135" s="3" t="str">
        <f>IF(crimenes_cordoba_ampliado[[#This Row],[Género Víctima]]="Masculino","🚹","🚺")</f>
        <v>🚺</v>
      </c>
      <c r="U135">
        <v>2</v>
      </c>
      <c r="V135" s="3" t="s">
        <v>25</v>
      </c>
      <c r="W135" s="3" t="s">
        <v>36</v>
      </c>
      <c r="X135" s="3" t="s">
        <v>24</v>
      </c>
      <c r="Y135" s="3" t="s">
        <v>64</v>
      </c>
      <c r="Z135" s="3" t="s">
        <v>25</v>
      </c>
      <c r="AA135" s="3" t="s">
        <v>23</v>
      </c>
      <c r="AB135" s="3" t="str">
        <f>IF(crimenes_cordoba_ampliado[[#This Row],[Hubo Arresto]]="Sí", "Resuelto", "Pendiente")</f>
        <v>Pendiente</v>
      </c>
      <c r="AC135" s="3" t="s">
        <v>24</v>
      </c>
      <c r="AD135" s="3"/>
    </row>
    <row r="136" spans="1:30" x14ac:dyDescent="0.25">
      <c r="A136">
        <v>132</v>
      </c>
      <c r="B136" s="1">
        <v>44328</v>
      </c>
      <c r="C136" s="33">
        <f t="shared" si="4"/>
        <v>44328</v>
      </c>
      <c r="D136" s="34">
        <f t="shared" si="5"/>
        <v>44328</v>
      </c>
      <c r="E136" s="35" t="s">
        <v>1450</v>
      </c>
      <c r="F136" s="2">
        <v>0.54513888888888884</v>
      </c>
      <c r="G136" s="3" t="s">
        <v>79</v>
      </c>
      <c r="H136" s="3" t="s">
        <v>65</v>
      </c>
      <c r="I136" s="25" t="str">
        <f>VLOOKUP(H136,Tabla5[#All],4,FALSE)</f>
        <v>-31,4285567311661, -64,1853198281007</v>
      </c>
      <c r="J136" s="1">
        <v>28555</v>
      </c>
      <c r="K136" s="7">
        <f>INT((crimenes_cordoba_ampliado[[#This Row],[Fecha]]-crimenes_cordoba_ampliado[[#This Row],[Fecha Nac. Delincuente]])/365)</f>
        <v>43</v>
      </c>
      <c r="L136" s="7" t="str">
        <f>_xlfn.XLOOKUP(crimenes_cordoba_ampliado[[#This Row],[EDAD DELINCUENTE]],'Rango etareo'!$A$10:$A$25,'Rango etareo'!$B$10:$B$25,,-1)</f>
        <v>36 - 45</v>
      </c>
      <c r="M136" s="3" t="s">
        <v>21</v>
      </c>
      <c r="N136" s="3" t="str">
        <f>IF(crimenes_cordoba_ampliado[[#This Row],[Género Delincuente]]="Femenino","🚺","🚹")</f>
        <v>🚺</v>
      </c>
      <c r="O136">
        <v>5</v>
      </c>
      <c r="P136" s="1">
        <v>36993</v>
      </c>
      <c r="Q136" s="7">
        <f>INT((crimenes_cordoba_ampliado[[#This Row],[Fecha]]-crimenes_cordoba_ampliado[[#This Row],[Fecha Nac. Víctima]])/365)</f>
        <v>20</v>
      </c>
      <c r="R136" s="7" t="str">
        <f>_xlfn.XLOOKUP(crimenes_cordoba_ampliado[[#This Row],[EDAD VICTIMA]],'Rango etareo'!$A$2:$A$25,'Rango etareo'!$B$2:$B$25,,-1)</f>
        <v>18 - 25</v>
      </c>
      <c r="S136" s="3" t="s">
        <v>22</v>
      </c>
      <c r="T136" s="3" t="str">
        <f>IF(crimenes_cordoba_ampliado[[#This Row],[Género Víctima]]="Masculino","🚹","🚺")</f>
        <v>🚹</v>
      </c>
      <c r="U136">
        <v>2</v>
      </c>
      <c r="V136" s="3" t="s">
        <v>23</v>
      </c>
      <c r="W136" s="3" t="s">
        <v>24</v>
      </c>
      <c r="X136" s="3" t="s">
        <v>24</v>
      </c>
      <c r="Y136" s="3" t="s">
        <v>56</v>
      </c>
      <c r="Z136" s="3" t="s">
        <v>23</v>
      </c>
      <c r="AA136" s="3" t="s">
        <v>25</v>
      </c>
      <c r="AB136" s="3" t="str">
        <f>IF(crimenes_cordoba_ampliado[[#This Row],[Hubo Arresto]]="Sí", "Resuelto", "Pendiente")</f>
        <v>Resuelto</v>
      </c>
      <c r="AC136" s="3" t="s">
        <v>107</v>
      </c>
      <c r="AD136" s="3"/>
    </row>
    <row r="137" spans="1:30" x14ac:dyDescent="0.25">
      <c r="A137">
        <v>133</v>
      </c>
      <c r="B137" s="1">
        <v>43187</v>
      </c>
      <c r="C137" s="33">
        <f t="shared" si="4"/>
        <v>43187</v>
      </c>
      <c r="D137" s="34">
        <f t="shared" si="5"/>
        <v>43187</v>
      </c>
      <c r="E137" s="35" t="s">
        <v>1450</v>
      </c>
      <c r="F137" s="2">
        <v>0.8354166666666667</v>
      </c>
      <c r="G137" s="3" t="s">
        <v>79</v>
      </c>
      <c r="H137" s="3" t="s">
        <v>60</v>
      </c>
      <c r="I137" s="25" t="str">
        <f>VLOOKUP(H137,Tabla5[#All],4,FALSE)</f>
        <v>-31,4076397196409, -64,2020170430678</v>
      </c>
      <c r="J137" s="1">
        <v>20983</v>
      </c>
      <c r="K137" s="7">
        <f>INT((crimenes_cordoba_ampliado[[#This Row],[Fecha]]-crimenes_cordoba_ampliado[[#This Row],[Fecha Nac. Delincuente]])/365)</f>
        <v>60</v>
      </c>
      <c r="L137" s="7" t="str">
        <f>_xlfn.XLOOKUP(crimenes_cordoba_ampliado[[#This Row],[EDAD DELINCUENTE]],'Rango etareo'!$A$10:$A$25,'Rango etareo'!$B$10:$B$25,,-1)</f>
        <v>56 - 65</v>
      </c>
      <c r="M137" s="3" t="s">
        <v>22</v>
      </c>
      <c r="N137" s="3" t="str">
        <f>IF(crimenes_cordoba_ampliado[[#This Row],[Género Delincuente]]="Femenino","🚺","🚹")</f>
        <v>🚹</v>
      </c>
      <c r="O137">
        <v>3</v>
      </c>
      <c r="P137" s="1">
        <v>23190</v>
      </c>
      <c r="Q137" s="7">
        <f>INT((crimenes_cordoba_ampliado[[#This Row],[Fecha]]-crimenes_cordoba_ampliado[[#This Row],[Fecha Nac. Víctima]])/365)</f>
        <v>54</v>
      </c>
      <c r="R137" s="7" t="str">
        <f>_xlfn.XLOOKUP(crimenes_cordoba_ampliado[[#This Row],[EDAD VICTIMA]],'Rango etareo'!$A$2:$A$25,'Rango etareo'!$B$2:$B$25,,-1)</f>
        <v>46 - 55</v>
      </c>
      <c r="S137" s="3" t="s">
        <v>22</v>
      </c>
      <c r="T137" s="3" t="str">
        <f>IF(crimenes_cordoba_ampliado[[#This Row],[Género Víctima]]="Masculino","🚹","🚺")</f>
        <v>🚹</v>
      </c>
      <c r="U137">
        <v>1</v>
      </c>
      <c r="V137" s="3" t="s">
        <v>23</v>
      </c>
      <c r="W137" s="3" t="s">
        <v>36</v>
      </c>
      <c r="X137" s="3" t="s">
        <v>67</v>
      </c>
      <c r="Y137" s="3" t="s">
        <v>24</v>
      </c>
      <c r="Z137" s="3" t="s">
        <v>25</v>
      </c>
      <c r="AA137" s="3" t="s">
        <v>25</v>
      </c>
      <c r="AB137" s="3" t="str">
        <f>IF(crimenes_cordoba_ampliado[[#This Row],[Hubo Arresto]]="Sí", "Resuelto", "Pendiente")</f>
        <v>Resuelto</v>
      </c>
      <c r="AC137" s="3" t="s">
        <v>135</v>
      </c>
      <c r="AD137" s="3"/>
    </row>
    <row r="138" spans="1:30" x14ac:dyDescent="0.25">
      <c r="A138">
        <v>134</v>
      </c>
      <c r="B138" s="1">
        <v>43854</v>
      </c>
      <c r="C138" s="33">
        <f t="shared" si="4"/>
        <v>43854</v>
      </c>
      <c r="D138" s="34">
        <f t="shared" si="5"/>
        <v>43854</v>
      </c>
      <c r="E138" s="35" t="s">
        <v>1455</v>
      </c>
      <c r="F138" s="2">
        <v>0.97291666666666665</v>
      </c>
      <c r="G138" s="3" t="s">
        <v>27</v>
      </c>
      <c r="H138" s="3" t="s">
        <v>49</v>
      </c>
      <c r="I138" s="25" t="str">
        <f>VLOOKUP(H138,Tabla5[#All],4,FALSE)</f>
        <v>-31,4506257494184, -64,1733054344705</v>
      </c>
      <c r="J138" s="1">
        <v>29528</v>
      </c>
      <c r="K138" s="7">
        <f>INT((crimenes_cordoba_ampliado[[#This Row],[Fecha]]-crimenes_cordoba_ampliado[[#This Row],[Fecha Nac. Delincuente]])/365)</f>
        <v>39</v>
      </c>
      <c r="L138" s="7" t="str">
        <f>_xlfn.XLOOKUP(crimenes_cordoba_ampliado[[#This Row],[EDAD DELINCUENTE]],'Rango etareo'!$A$10:$A$25,'Rango etareo'!$B$10:$B$25,,-1)</f>
        <v>36 - 45</v>
      </c>
      <c r="M138" s="3" t="s">
        <v>21</v>
      </c>
      <c r="N138" s="3" t="str">
        <f>IF(crimenes_cordoba_ampliado[[#This Row],[Género Delincuente]]="Femenino","🚺","🚹")</f>
        <v>🚺</v>
      </c>
      <c r="O138">
        <v>2</v>
      </c>
      <c r="P138" s="1">
        <v>21137</v>
      </c>
      <c r="Q138" s="7">
        <f>INT((crimenes_cordoba_ampliado[[#This Row],[Fecha]]-crimenes_cordoba_ampliado[[#This Row],[Fecha Nac. Víctima]])/365)</f>
        <v>62</v>
      </c>
      <c r="R138" s="7" t="str">
        <f>_xlfn.XLOOKUP(crimenes_cordoba_ampliado[[#This Row],[EDAD VICTIMA]],'Rango etareo'!$A$2:$A$25,'Rango etareo'!$B$2:$B$25,,-1)</f>
        <v>56 - 65</v>
      </c>
      <c r="S138" s="3" t="s">
        <v>21</v>
      </c>
      <c r="T138" s="3" t="str">
        <f>IF(crimenes_cordoba_ampliado[[#This Row],[Género Víctima]]="Masculino","🚹","🚺")</f>
        <v>🚺</v>
      </c>
      <c r="U138">
        <v>2</v>
      </c>
      <c r="V138" s="3" t="s">
        <v>23</v>
      </c>
      <c r="W138" s="3" t="s">
        <v>63</v>
      </c>
      <c r="X138" s="3" t="s">
        <v>50</v>
      </c>
      <c r="Y138" s="3" t="s">
        <v>24</v>
      </c>
      <c r="Z138" s="3" t="s">
        <v>23</v>
      </c>
      <c r="AA138" s="3" t="s">
        <v>25</v>
      </c>
      <c r="AB138" s="3" t="str">
        <f>IF(crimenes_cordoba_ampliado[[#This Row],[Hubo Arresto]]="Sí", "Resuelto", "Pendiente")</f>
        <v>Resuelto</v>
      </c>
      <c r="AC138" s="3" t="s">
        <v>136</v>
      </c>
      <c r="AD138" s="3"/>
    </row>
    <row r="139" spans="1:30" x14ac:dyDescent="0.25">
      <c r="A139">
        <v>781</v>
      </c>
      <c r="B139" s="1">
        <v>42555</v>
      </c>
      <c r="C139" s="33">
        <f t="shared" si="4"/>
        <v>42555</v>
      </c>
      <c r="D139" s="34">
        <f t="shared" si="5"/>
        <v>42555</v>
      </c>
      <c r="E139" s="35" t="s">
        <v>1452</v>
      </c>
      <c r="F139" s="2">
        <v>0.83402777777777781</v>
      </c>
      <c r="G139" s="3" t="s">
        <v>79</v>
      </c>
      <c r="H139" s="3" t="s">
        <v>52</v>
      </c>
      <c r="I139" s="25" t="str">
        <f>VLOOKUP(H139,Tabla5[#All],4,FALSE)</f>
        <v>-31,3477902896523, -64,2644406169297</v>
      </c>
      <c r="J139" s="1">
        <v>27400</v>
      </c>
      <c r="K139" s="7">
        <f>INT((crimenes_cordoba_ampliado[[#This Row],[Fecha]]-crimenes_cordoba_ampliado[[#This Row],[Fecha Nac. Delincuente]])/365)</f>
        <v>41</v>
      </c>
      <c r="L139" s="7" t="str">
        <f>_xlfn.XLOOKUP(crimenes_cordoba_ampliado[[#This Row],[EDAD DELINCUENTE]],'Rango etareo'!$A$10:$A$25,'Rango etareo'!$B$10:$B$25,,-1)</f>
        <v>36 - 45</v>
      </c>
      <c r="M139" s="3" t="s">
        <v>22</v>
      </c>
      <c r="N139" s="3" t="str">
        <f>IF(crimenes_cordoba_ampliado[[#This Row],[Género Delincuente]]="Femenino","🚺","🚹")</f>
        <v>🚹</v>
      </c>
      <c r="O139">
        <v>2</v>
      </c>
      <c r="P139" s="1">
        <v>20709</v>
      </c>
      <c r="Q139" s="7">
        <f>INT((crimenes_cordoba_ampliado[[#This Row],[Fecha]]-crimenes_cordoba_ampliado[[#This Row],[Fecha Nac. Víctima]])/365)</f>
        <v>59</v>
      </c>
      <c r="R139" s="7" t="str">
        <f>_xlfn.XLOOKUP(crimenes_cordoba_ampliado[[#This Row],[EDAD VICTIMA]],'Rango etareo'!$A$2:$A$25,'Rango etareo'!$B$2:$B$25,,-1)</f>
        <v>56 - 65</v>
      </c>
      <c r="S139" s="3" t="s">
        <v>22</v>
      </c>
      <c r="T139" s="3" t="str">
        <f>IF(crimenes_cordoba_ampliado[[#This Row],[Género Víctima]]="Masculino","🚹","🚺")</f>
        <v>🚹</v>
      </c>
      <c r="U139">
        <v>2</v>
      </c>
      <c r="V139" s="3" t="s">
        <v>25</v>
      </c>
      <c r="W139" s="3" t="s">
        <v>83</v>
      </c>
      <c r="X139" s="3" t="s">
        <v>24</v>
      </c>
      <c r="Y139" s="3" t="s">
        <v>101</v>
      </c>
      <c r="Z139" s="3" t="s">
        <v>25</v>
      </c>
      <c r="AA139" s="3" t="s">
        <v>25</v>
      </c>
      <c r="AB139" s="3" t="str">
        <f>IF(crimenes_cordoba_ampliado[[#This Row],[Hubo Arresto]]="Sí", "Resuelto", "Pendiente")</f>
        <v>Pendiente</v>
      </c>
      <c r="AC139" s="3" t="s">
        <v>24</v>
      </c>
      <c r="AD139" s="3"/>
    </row>
    <row r="140" spans="1:30" x14ac:dyDescent="0.25">
      <c r="A140">
        <v>135</v>
      </c>
      <c r="B140" s="1">
        <v>42537</v>
      </c>
      <c r="C140" s="33">
        <f t="shared" si="4"/>
        <v>42537</v>
      </c>
      <c r="D140" s="34">
        <f t="shared" si="5"/>
        <v>42537</v>
      </c>
      <c r="E140" s="35" t="s">
        <v>1454</v>
      </c>
      <c r="F140" s="2">
        <v>0.19722222222222222</v>
      </c>
      <c r="G140" s="3" t="s">
        <v>79</v>
      </c>
      <c r="H140" s="3" t="s">
        <v>40</v>
      </c>
      <c r="I140" s="25" t="str">
        <f>VLOOKUP(H140,Tabla5[#All],4,FALSE)</f>
        <v>-31,334500143441, -64,2460773260564</v>
      </c>
      <c r="J140" s="1">
        <v>30123</v>
      </c>
      <c r="K140" s="7">
        <f>INT((crimenes_cordoba_ampliado[[#This Row],[Fecha]]-crimenes_cordoba_ampliado[[#This Row],[Fecha Nac. Delincuente]])/365)</f>
        <v>34</v>
      </c>
      <c r="L140" s="7" t="str">
        <f>_xlfn.XLOOKUP(crimenes_cordoba_ampliado[[#This Row],[EDAD DELINCUENTE]],'Rango etareo'!$A$10:$A$25,'Rango etareo'!$B$10:$B$25,,-1)</f>
        <v>26 - 35</v>
      </c>
      <c r="M140" s="3" t="s">
        <v>22</v>
      </c>
      <c r="N140" s="3" t="str">
        <f>IF(crimenes_cordoba_ampliado[[#This Row],[Género Delincuente]]="Femenino","🚺","🚹")</f>
        <v>🚹</v>
      </c>
      <c r="O140">
        <v>4</v>
      </c>
      <c r="P140" s="1">
        <v>39734</v>
      </c>
      <c r="Q140" s="7">
        <f>INT((crimenes_cordoba_ampliado[[#This Row],[Fecha]]-crimenes_cordoba_ampliado[[#This Row],[Fecha Nac. Víctima]])/365)</f>
        <v>7</v>
      </c>
      <c r="R140" s="7" t="str">
        <f>_xlfn.XLOOKUP(crimenes_cordoba_ampliado[[#This Row],[EDAD VICTIMA]],'Rango etareo'!$A$2:$A$25,'Rango etareo'!$B$2:$B$25,,-1)</f>
        <v>&lt;=17</v>
      </c>
      <c r="S140" s="3" t="s">
        <v>21</v>
      </c>
      <c r="T140" s="3" t="str">
        <f>IF(crimenes_cordoba_ampliado[[#This Row],[Género Víctima]]="Masculino","🚹","🚺")</f>
        <v>🚺</v>
      </c>
      <c r="U140">
        <v>3</v>
      </c>
      <c r="V140" s="3" t="s">
        <v>23</v>
      </c>
      <c r="W140" s="3" t="s">
        <v>24</v>
      </c>
      <c r="X140" s="3" t="s">
        <v>24</v>
      </c>
      <c r="Y140" s="3" t="s">
        <v>53</v>
      </c>
      <c r="Z140" s="3" t="s">
        <v>25</v>
      </c>
      <c r="AA140" s="3" t="s">
        <v>25</v>
      </c>
      <c r="AB140" s="3" t="str">
        <f>IF(crimenes_cordoba_ampliado[[#This Row],[Hubo Arresto]]="Sí", "Resuelto", "Pendiente")</f>
        <v>Resuelto</v>
      </c>
      <c r="AC140" s="3" t="s">
        <v>137</v>
      </c>
      <c r="AD140" s="3"/>
    </row>
    <row r="141" spans="1:30" x14ac:dyDescent="0.25">
      <c r="A141">
        <v>919</v>
      </c>
      <c r="B141" s="1">
        <v>42562</v>
      </c>
      <c r="C141" s="33">
        <f t="shared" si="4"/>
        <v>42562</v>
      </c>
      <c r="D141" s="34">
        <f t="shared" si="5"/>
        <v>42562</v>
      </c>
      <c r="E141" s="35" t="s">
        <v>1452</v>
      </c>
      <c r="F141" s="2">
        <v>0.84236111111111112</v>
      </c>
      <c r="G141" s="3" t="s">
        <v>45</v>
      </c>
      <c r="H141" s="3" t="s">
        <v>32</v>
      </c>
      <c r="I141" s="25" t="str">
        <f>VLOOKUP(H141,Tabla5[#All],4,FALSE)</f>
        <v>-31,4148488101991, -64,1793406489438</v>
      </c>
      <c r="J141" s="1">
        <v>35628</v>
      </c>
      <c r="K141" s="7">
        <f>INT((crimenes_cordoba_ampliado[[#This Row],[Fecha]]-crimenes_cordoba_ampliado[[#This Row],[Fecha Nac. Delincuente]])/365)</f>
        <v>18</v>
      </c>
      <c r="L141" s="7" t="str">
        <f>_xlfn.XLOOKUP(crimenes_cordoba_ampliado[[#This Row],[EDAD DELINCUENTE]],'Rango etareo'!$A$10:$A$25,'Rango etareo'!$B$10:$B$25,,-1)</f>
        <v>18 - 25</v>
      </c>
      <c r="M141" s="3" t="s">
        <v>21</v>
      </c>
      <c r="N141" s="3" t="str">
        <f>IF(crimenes_cordoba_ampliado[[#This Row],[Género Delincuente]]="Femenino","🚺","🚹")</f>
        <v>🚺</v>
      </c>
      <c r="O141">
        <v>1</v>
      </c>
      <c r="P141" s="1">
        <v>15592</v>
      </c>
      <c r="Q141" s="7">
        <f>INT((crimenes_cordoba_ampliado[[#This Row],[Fecha]]-crimenes_cordoba_ampliado[[#This Row],[Fecha Nac. Víctima]])/365)</f>
        <v>73</v>
      </c>
      <c r="R141" s="7" t="str">
        <f>_xlfn.XLOOKUP(crimenes_cordoba_ampliado[[#This Row],[EDAD VICTIMA]],'Rango etareo'!$A$2:$A$25,'Rango etareo'!$B$2:$B$25,,-1)</f>
        <v>&gt;65</v>
      </c>
      <c r="S141" s="3" t="s">
        <v>22</v>
      </c>
      <c r="T141" s="3" t="str">
        <f>IF(crimenes_cordoba_ampliado[[#This Row],[Género Víctima]]="Masculino","🚹","🚺")</f>
        <v>🚹</v>
      </c>
      <c r="U141">
        <v>3</v>
      </c>
      <c r="V141" s="3" t="s">
        <v>25</v>
      </c>
      <c r="W141" s="3" t="s">
        <v>63</v>
      </c>
      <c r="X141" s="3" t="s">
        <v>24</v>
      </c>
      <c r="Y141" s="3" t="s">
        <v>64</v>
      </c>
      <c r="Z141" s="3" t="s">
        <v>25</v>
      </c>
      <c r="AA141" s="3" t="s">
        <v>23</v>
      </c>
      <c r="AB141" s="3" t="str">
        <f>IF(crimenes_cordoba_ampliado[[#This Row],[Hubo Arresto]]="Sí", "Resuelto", "Pendiente")</f>
        <v>Pendiente</v>
      </c>
      <c r="AC141" s="3" t="s">
        <v>24</v>
      </c>
      <c r="AD141" s="3"/>
    </row>
    <row r="142" spans="1:30" x14ac:dyDescent="0.25">
      <c r="A142">
        <v>683</v>
      </c>
      <c r="B142" s="1">
        <v>42563</v>
      </c>
      <c r="C142" s="33">
        <f t="shared" si="4"/>
        <v>42563</v>
      </c>
      <c r="D142" s="34">
        <f t="shared" si="5"/>
        <v>42563</v>
      </c>
      <c r="E142" s="35" t="s">
        <v>1453</v>
      </c>
      <c r="F142" s="2">
        <v>0.97638888888888886</v>
      </c>
      <c r="G142" s="3" t="s">
        <v>81</v>
      </c>
      <c r="H142" s="3" t="s">
        <v>28</v>
      </c>
      <c r="I142" s="25" t="str">
        <f>VLOOKUP(H142,Tabla5[#All],4,FALSE)</f>
        <v>-31,4129883640337, -64,1681120522587</v>
      </c>
      <c r="J142" s="1">
        <v>24862</v>
      </c>
      <c r="K142" s="7">
        <f>INT((crimenes_cordoba_ampliado[[#This Row],[Fecha]]-crimenes_cordoba_ampliado[[#This Row],[Fecha Nac. Delincuente]])/365)</f>
        <v>48</v>
      </c>
      <c r="L142" s="7" t="str">
        <f>_xlfn.XLOOKUP(crimenes_cordoba_ampliado[[#This Row],[EDAD DELINCUENTE]],'Rango etareo'!$A$10:$A$25,'Rango etareo'!$B$10:$B$25,,-1)</f>
        <v>46 - 55</v>
      </c>
      <c r="M142" s="3" t="s">
        <v>22</v>
      </c>
      <c r="N142" s="3" t="str">
        <f>IF(crimenes_cordoba_ampliado[[#This Row],[Género Delincuente]]="Femenino","🚺","🚹")</f>
        <v>🚹</v>
      </c>
      <c r="O142">
        <v>5</v>
      </c>
      <c r="P142" s="1">
        <v>19962</v>
      </c>
      <c r="Q142" s="7">
        <f>INT((crimenes_cordoba_ampliado[[#This Row],[Fecha]]-crimenes_cordoba_ampliado[[#This Row],[Fecha Nac. Víctima]])/365)</f>
        <v>61</v>
      </c>
      <c r="R142" s="7" t="str">
        <f>_xlfn.XLOOKUP(crimenes_cordoba_ampliado[[#This Row],[EDAD VICTIMA]],'Rango etareo'!$A$2:$A$25,'Rango etareo'!$B$2:$B$25,,-1)</f>
        <v>56 - 65</v>
      </c>
      <c r="S142" s="3" t="s">
        <v>21</v>
      </c>
      <c r="T142" s="3" t="str">
        <f>IF(crimenes_cordoba_ampliado[[#This Row],[Género Víctima]]="Masculino","🚹","🚺")</f>
        <v>🚺</v>
      </c>
      <c r="U142">
        <v>1</v>
      </c>
      <c r="V142" s="3" t="s">
        <v>25</v>
      </c>
      <c r="W142" s="3" t="s">
        <v>36</v>
      </c>
      <c r="X142" s="3" t="s">
        <v>24</v>
      </c>
      <c r="Y142" s="3" t="s">
        <v>64</v>
      </c>
      <c r="Z142" s="3" t="s">
        <v>23</v>
      </c>
      <c r="AA142" s="3" t="s">
        <v>25</v>
      </c>
      <c r="AB142" s="3" t="str">
        <f>IF(crimenes_cordoba_ampliado[[#This Row],[Hubo Arresto]]="Sí", "Resuelto", "Pendiente")</f>
        <v>Pendiente</v>
      </c>
      <c r="AC142" s="3" t="s">
        <v>24</v>
      </c>
      <c r="AD142" s="3"/>
    </row>
    <row r="143" spans="1:30" x14ac:dyDescent="0.25">
      <c r="A143">
        <v>137</v>
      </c>
      <c r="B143" s="1">
        <v>44852</v>
      </c>
      <c r="C143" s="33">
        <f t="shared" si="4"/>
        <v>44852</v>
      </c>
      <c r="D143" s="34">
        <f t="shared" si="5"/>
        <v>44852</v>
      </c>
      <c r="E143" s="35" t="s">
        <v>1453</v>
      </c>
      <c r="F143" s="2">
        <v>0.2013888888888889</v>
      </c>
      <c r="G143" s="3" t="s">
        <v>27</v>
      </c>
      <c r="H143" s="3" t="s">
        <v>70</v>
      </c>
      <c r="I143" s="25" t="str">
        <f>VLOOKUP(H143,Tabla5[#All],4,FALSE)</f>
        <v>-31,3759272890294, -64,2284587792478</v>
      </c>
      <c r="J143" s="1">
        <v>31740</v>
      </c>
      <c r="K143" s="7">
        <f>INT((crimenes_cordoba_ampliado[[#This Row],[Fecha]]-crimenes_cordoba_ampliado[[#This Row],[Fecha Nac. Delincuente]])/365)</f>
        <v>35</v>
      </c>
      <c r="L143" s="7" t="str">
        <f>_xlfn.XLOOKUP(crimenes_cordoba_ampliado[[#This Row],[EDAD DELINCUENTE]],'Rango etareo'!$A$10:$A$25,'Rango etareo'!$B$10:$B$25,,-1)</f>
        <v>26 - 35</v>
      </c>
      <c r="M143" s="3" t="s">
        <v>21</v>
      </c>
      <c r="N143" s="3" t="str">
        <f>IF(crimenes_cordoba_ampliado[[#This Row],[Género Delincuente]]="Femenino","🚺","🚹")</f>
        <v>🚺</v>
      </c>
      <c r="O143">
        <v>5</v>
      </c>
      <c r="P143" s="1">
        <v>33516</v>
      </c>
      <c r="Q143" s="7">
        <f>INT((crimenes_cordoba_ampliado[[#This Row],[Fecha]]-crimenes_cordoba_ampliado[[#This Row],[Fecha Nac. Víctima]])/365)</f>
        <v>31</v>
      </c>
      <c r="R143" s="7" t="str">
        <f>_xlfn.XLOOKUP(crimenes_cordoba_ampliado[[#This Row],[EDAD VICTIMA]],'Rango etareo'!$A$2:$A$25,'Rango etareo'!$B$2:$B$25,,-1)</f>
        <v>26 - 35</v>
      </c>
      <c r="S143" s="3" t="s">
        <v>22</v>
      </c>
      <c r="T143" s="3" t="str">
        <f>IF(crimenes_cordoba_ampliado[[#This Row],[Género Víctima]]="Masculino","🚹","🚺")</f>
        <v>🚹</v>
      </c>
      <c r="U143">
        <v>2</v>
      </c>
      <c r="V143" s="3" t="s">
        <v>23</v>
      </c>
      <c r="W143" s="3" t="s">
        <v>24</v>
      </c>
      <c r="X143" s="3" t="s">
        <v>24</v>
      </c>
      <c r="Y143" s="3" t="s">
        <v>106</v>
      </c>
      <c r="Z143" s="3" t="s">
        <v>23</v>
      </c>
      <c r="AA143" s="3" t="s">
        <v>25</v>
      </c>
      <c r="AB143" s="3" t="str">
        <f>IF(crimenes_cordoba_ampliado[[#This Row],[Hubo Arresto]]="Sí", "Resuelto", "Pendiente")</f>
        <v>Resuelto</v>
      </c>
      <c r="AC143" s="3" t="s">
        <v>138</v>
      </c>
      <c r="AD143" s="3"/>
    </row>
    <row r="144" spans="1:30" x14ac:dyDescent="0.25">
      <c r="A144">
        <v>138</v>
      </c>
      <c r="B144" s="1">
        <v>43243</v>
      </c>
      <c r="C144" s="33">
        <f t="shared" si="4"/>
        <v>43243</v>
      </c>
      <c r="D144" s="34">
        <f t="shared" si="5"/>
        <v>43243</v>
      </c>
      <c r="E144" s="35" t="s">
        <v>1450</v>
      </c>
      <c r="F144" s="2">
        <v>0.94513888888888886</v>
      </c>
      <c r="G144" s="3" t="s">
        <v>31</v>
      </c>
      <c r="H144" s="3" t="s">
        <v>49</v>
      </c>
      <c r="I144" s="25" t="str">
        <f>VLOOKUP(H144,Tabla5[#All],4,FALSE)</f>
        <v>-31,4506257494184, -64,1733054344705</v>
      </c>
      <c r="J144" s="1">
        <v>23969</v>
      </c>
      <c r="K144" s="7">
        <f>INT((crimenes_cordoba_ampliado[[#This Row],[Fecha]]-crimenes_cordoba_ampliado[[#This Row],[Fecha Nac. Delincuente]])/365)</f>
        <v>52</v>
      </c>
      <c r="L144" s="7" t="str">
        <f>_xlfn.XLOOKUP(crimenes_cordoba_ampliado[[#This Row],[EDAD DELINCUENTE]],'Rango etareo'!$A$10:$A$25,'Rango etareo'!$B$10:$B$25,,-1)</f>
        <v>46 - 55</v>
      </c>
      <c r="M144" s="3" t="s">
        <v>22</v>
      </c>
      <c r="N144" s="3" t="str">
        <f>IF(crimenes_cordoba_ampliado[[#This Row],[Género Delincuente]]="Femenino","🚺","🚹")</f>
        <v>🚹</v>
      </c>
      <c r="O144">
        <v>5</v>
      </c>
      <c r="P144" s="1">
        <v>16846</v>
      </c>
      <c r="Q144" s="7">
        <f>INT((crimenes_cordoba_ampliado[[#This Row],[Fecha]]-crimenes_cordoba_ampliado[[#This Row],[Fecha Nac. Víctima]])/365)</f>
        <v>72</v>
      </c>
      <c r="R144" s="7" t="str">
        <f>_xlfn.XLOOKUP(crimenes_cordoba_ampliado[[#This Row],[EDAD VICTIMA]],'Rango etareo'!$A$2:$A$25,'Rango etareo'!$B$2:$B$25,,-1)</f>
        <v>&gt;65</v>
      </c>
      <c r="S144" s="3" t="s">
        <v>22</v>
      </c>
      <c r="T144" s="3" t="str">
        <f>IF(crimenes_cordoba_ampliado[[#This Row],[Género Víctima]]="Masculino","🚹","🚺")</f>
        <v>🚹</v>
      </c>
      <c r="U144">
        <v>2</v>
      </c>
      <c r="V144" s="3" t="s">
        <v>23</v>
      </c>
      <c r="W144" s="3" t="s">
        <v>24</v>
      </c>
      <c r="X144" s="3" t="s">
        <v>50</v>
      </c>
      <c r="Y144" s="3" t="s">
        <v>24</v>
      </c>
      <c r="Z144" s="3" t="s">
        <v>25</v>
      </c>
      <c r="AA144" s="3" t="s">
        <v>23</v>
      </c>
      <c r="AB144" s="3" t="str">
        <f>IF(crimenes_cordoba_ampliado[[#This Row],[Hubo Arresto]]="Sí", "Resuelto", "Pendiente")</f>
        <v>Resuelto</v>
      </c>
      <c r="AC144" s="3" t="s">
        <v>139</v>
      </c>
      <c r="AD144" s="3"/>
    </row>
    <row r="145" spans="1:30" x14ac:dyDescent="0.25">
      <c r="A145">
        <v>586</v>
      </c>
      <c r="B145" s="1">
        <v>42578</v>
      </c>
      <c r="C145" s="33">
        <f t="shared" si="4"/>
        <v>42578</v>
      </c>
      <c r="D145" s="34">
        <f t="shared" si="5"/>
        <v>42578</v>
      </c>
      <c r="E145" s="35" t="s">
        <v>1450</v>
      </c>
      <c r="F145" s="2">
        <v>0.31319444444444444</v>
      </c>
      <c r="G145" s="3" t="s">
        <v>31</v>
      </c>
      <c r="H145" s="3" t="s">
        <v>28</v>
      </c>
      <c r="I145" s="25" t="str">
        <f>VLOOKUP(H145,Tabla5[#All],4,FALSE)</f>
        <v>-31,4129883640337, -64,1681120522587</v>
      </c>
      <c r="J145" s="1">
        <v>34507</v>
      </c>
      <c r="K145" s="7">
        <f>INT((crimenes_cordoba_ampliado[[#This Row],[Fecha]]-crimenes_cordoba_ampliado[[#This Row],[Fecha Nac. Delincuente]])/365)</f>
        <v>22</v>
      </c>
      <c r="L145" s="7" t="str">
        <f>_xlfn.XLOOKUP(crimenes_cordoba_ampliado[[#This Row],[EDAD DELINCUENTE]],'Rango etareo'!$A$10:$A$25,'Rango etareo'!$B$10:$B$25,,-1)</f>
        <v>18 - 25</v>
      </c>
      <c r="M145" s="3" t="s">
        <v>21</v>
      </c>
      <c r="N145" s="3" t="str">
        <f>IF(crimenes_cordoba_ampliado[[#This Row],[Género Delincuente]]="Femenino","🚺","🚹")</f>
        <v>🚺</v>
      </c>
      <c r="O145">
        <v>3</v>
      </c>
      <c r="P145" s="1">
        <v>16129</v>
      </c>
      <c r="Q145" s="7">
        <f>INT((crimenes_cordoba_ampliado[[#This Row],[Fecha]]-crimenes_cordoba_ampliado[[#This Row],[Fecha Nac. Víctima]])/365)</f>
        <v>72</v>
      </c>
      <c r="R145" s="7" t="str">
        <f>_xlfn.XLOOKUP(crimenes_cordoba_ampliado[[#This Row],[EDAD VICTIMA]],'Rango etareo'!$A$2:$A$25,'Rango etareo'!$B$2:$B$25,,-1)</f>
        <v>&gt;65</v>
      </c>
      <c r="S145" s="3" t="s">
        <v>22</v>
      </c>
      <c r="T145" s="3" t="str">
        <f>IF(crimenes_cordoba_ampliado[[#This Row],[Género Víctima]]="Masculino","🚹","🚺")</f>
        <v>🚹</v>
      </c>
      <c r="U145">
        <v>2</v>
      </c>
      <c r="V145" s="3" t="s">
        <v>25</v>
      </c>
      <c r="W145" s="3" t="s">
        <v>24</v>
      </c>
      <c r="X145" s="3" t="s">
        <v>24</v>
      </c>
      <c r="Y145" s="3" t="s">
        <v>46</v>
      </c>
      <c r="Z145" s="3" t="s">
        <v>25</v>
      </c>
      <c r="AA145" s="3" t="s">
        <v>23</v>
      </c>
      <c r="AB145" s="3" t="str">
        <f>IF(crimenes_cordoba_ampliado[[#This Row],[Hubo Arresto]]="Sí", "Resuelto", "Pendiente")</f>
        <v>Pendiente</v>
      </c>
      <c r="AC145" s="3" t="s">
        <v>24</v>
      </c>
      <c r="AD145" s="3"/>
    </row>
    <row r="146" spans="1:30" x14ac:dyDescent="0.25">
      <c r="A146">
        <v>140</v>
      </c>
      <c r="B146" s="1">
        <v>45432</v>
      </c>
      <c r="C146" s="33">
        <f t="shared" si="4"/>
        <v>45432</v>
      </c>
      <c r="D146" s="34">
        <f t="shared" si="5"/>
        <v>45432</v>
      </c>
      <c r="E146" s="35" t="s">
        <v>1452</v>
      </c>
      <c r="F146" s="2">
        <v>0.67152777777777772</v>
      </c>
      <c r="G146" s="3" t="s">
        <v>19</v>
      </c>
      <c r="H146" s="3" t="s">
        <v>58</v>
      </c>
      <c r="I146" s="25" t="str">
        <f>VLOOKUP(H146,Tabla5[#All],4,FALSE)</f>
        <v>-31,423018915313, -64,1493562190664</v>
      </c>
      <c r="J146" s="1">
        <v>23514</v>
      </c>
      <c r="K146" s="7">
        <f>INT((crimenes_cordoba_ampliado[[#This Row],[Fecha]]-crimenes_cordoba_ampliado[[#This Row],[Fecha Nac. Delincuente]])/365)</f>
        <v>60</v>
      </c>
      <c r="L146" s="7" t="str">
        <f>_xlfn.XLOOKUP(crimenes_cordoba_ampliado[[#This Row],[EDAD DELINCUENTE]],'Rango etareo'!$A$10:$A$25,'Rango etareo'!$B$10:$B$25,,-1)</f>
        <v>56 - 65</v>
      </c>
      <c r="M146" s="3" t="s">
        <v>22</v>
      </c>
      <c r="N146" s="3" t="str">
        <f>IF(crimenes_cordoba_ampliado[[#This Row],[Género Delincuente]]="Femenino","🚺","🚹")</f>
        <v>🚹</v>
      </c>
      <c r="O146">
        <v>3</v>
      </c>
      <c r="P146" s="1">
        <v>38779</v>
      </c>
      <c r="Q146" s="7">
        <f>INT((crimenes_cordoba_ampliado[[#This Row],[Fecha]]-crimenes_cordoba_ampliado[[#This Row],[Fecha Nac. Víctima]])/365)</f>
        <v>18</v>
      </c>
      <c r="R146" s="7" t="str">
        <f>_xlfn.XLOOKUP(crimenes_cordoba_ampliado[[#This Row],[EDAD VICTIMA]],'Rango etareo'!$A$2:$A$25,'Rango etareo'!$B$2:$B$25,,-1)</f>
        <v>18 - 25</v>
      </c>
      <c r="S146" s="3" t="s">
        <v>21</v>
      </c>
      <c r="T146" s="3" t="str">
        <f>IF(crimenes_cordoba_ampliado[[#This Row],[Género Víctima]]="Masculino","🚹","🚺")</f>
        <v>🚺</v>
      </c>
      <c r="U146">
        <v>1</v>
      </c>
      <c r="V146" s="3" t="s">
        <v>23</v>
      </c>
      <c r="W146" s="3" t="s">
        <v>24</v>
      </c>
      <c r="X146" s="3" t="s">
        <v>24</v>
      </c>
      <c r="Y146" s="3" t="s">
        <v>46</v>
      </c>
      <c r="Z146" s="3" t="s">
        <v>25</v>
      </c>
      <c r="AA146" s="3" t="s">
        <v>23</v>
      </c>
      <c r="AB146" s="3" t="str">
        <f>IF(crimenes_cordoba_ampliado[[#This Row],[Hubo Arresto]]="Sí", "Resuelto", "Pendiente")</f>
        <v>Resuelto</v>
      </c>
      <c r="AC146" s="3" t="s">
        <v>140</v>
      </c>
      <c r="AD146" s="3"/>
    </row>
    <row r="147" spans="1:30" x14ac:dyDescent="0.25">
      <c r="A147">
        <v>141</v>
      </c>
      <c r="B147" s="1">
        <v>45073</v>
      </c>
      <c r="C147" s="33">
        <f t="shared" si="4"/>
        <v>45073</v>
      </c>
      <c r="D147" s="34">
        <f t="shared" si="5"/>
        <v>45073</v>
      </c>
      <c r="E147" s="35" t="s">
        <v>1451</v>
      </c>
      <c r="F147" s="2">
        <v>0.69236111111111109</v>
      </c>
      <c r="G147" s="3" t="s">
        <v>35</v>
      </c>
      <c r="H147" s="3" t="s">
        <v>20</v>
      </c>
      <c r="I147" s="25" t="str">
        <f>VLOOKUP(H147,Tabla5[#All],4,FALSE)</f>
        <v>-31,4800162965848, -64,2094200976892</v>
      </c>
      <c r="J147" s="1">
        <v>29407</v>
      </c>
      <c r="K147" s="7">
        <f>INT((crimenes_cordoba_ampliado[[#This Row],[Fecha]]-crimenes_cordoba_ampliado[[#This Row],[Fecha Nac. Delincuente]])/365)</f>
        <v>42</v>
      </c>
      <c r="L147" s="7" t="str">
        <f>_xlfn.XLOOKUP(crimenes_cordoba_ampliado[[#This Row],[EDAD DELINCUENTE]],'Rango etareo'!$A$10:$A$25,'Rango etareo'!$B$10:$B$25,,-1)</f>
        <v>36 - 45</v>
      </c>
      <c r="M147" s="3" t="s">
        <v>22</v>
      </c>
      <c r="N147" s="3" t="str">
        <f>IF(crimenes_cordoba_ampliado[[#This Row],[Género Delincuente]]="Femenino","🚺","🚹")</f>
        <v>🚹</v>
      </c>
      <c r="O147">
        <v>5</v>
      </c>
      <c r="P147" s="1">
        <v>18020</v>
      </c>
      <c r="Q147" s="7">
        <f>INT((crimenes_cordoba_ampliado[[#This Row],[Fecha]]-crimenes_cordoba_ampliado[[#This Row],[Fecha Nac. Víctima]])/365)</f>
        <v>74</v>
      </c>
      <c r="R147" s="7" t="str">
        <f>_xlfn.XLOOKUP(crimenes_cordoba_ampliado[[#This Row],[EDAD VICTIMA]],'Rango etareo'!$A$2:$A$25,'Rango etareo'!$B$2:$B$25,,-1)</f>
        <v>&gt;65</v>
      </c>
      <c r="S147" s="3" t="s">
        <v>22</v>
      </c>
      <c r="T147" s="3" t="str">
        <f>IF(crimenes_cordoba_ampliado[[#This Row],[Género Víctima]]="Masculino","🚹","🚺")</f>
        <v>🚹</v>
      </c>
      <c r="U147">
        <v>1</v>
      </c>
      <c r="V147" s="3" t="s">
        <v>23</v>
      </c>
      <c r="W147" s="3" t="s">
        <v>24</v>
      </c>
      <c r="X147" s="3" t="s">
        <v>24</v>
      </c>
      <c r="Y147" s="3" t="s">
        <v>24</v>
      </c>
      <c r="Z147" s="3" t="s">
        <v>25</v>
      </c>
      <c r="AA147" s="3" t="s">
        <v>25</v>
      </c>
      <c r="AB147" s="3" t="str">
        <f>IF(crimenes_cordoba_ampliado[[#This Row],[Hubo Arresto]]="Sí", "Resuelto", "Pendiente")</f>
        <v>Resuelto</v>
      </c>
      <c r="AC147" s="3" t="s">
        <v>141</v>
      </c>
      <c r="AD147" s="3"/>
    </row>
    <row r="148" spans="1:30" x14ac:dyDescent="0.25">
      <c r="A148">
        <v>142</v>
      </c>
      <c r="B148" s="1">
        <v>42538</v>
      </c>
      <c r="C148" s="33">
        <f t="shared" si="4"/>
        <v>42538</v>
      </c>
      <c r="D148" s="34">
        <f t="shared" si="5"/>
        <v>42538</v>
      </c>
      <c r="E148" s="35" t="s">
        <v>1455</v>
      </c>
      <c r="F148" s="2">
        <v>0.3215277777777778</v>
      </c>
      <c r="G148" s="3" t="s">
        <v>81</v>
      </c>
      <c r="H148" s="3" t="s">
        <v>52</v>
      </c>
      <c r="I148" s="25" t="str">
        <f>VLOOKUP(H148,Tabla5[#All],4,FALSE)</f>
        <v>-31,3477902896523, -64,2644406169297</v>
      </c>
      <c r="J148" s="1">
        <v>33605</v>
      </c>
      <c r="K148" s="7">
        <f>INT((crimenes_cordoba_ampliado[[#This Row],[Fecha]]-crimenes_cordoba_ampliado[[#This Row],[Fecha Nac. Delincuente]])/365)</f>
        <v>24</v>
      </c>
      <c r="L148" s="7" t="str">
        <f>_xlfn.XLOOKUP(crimenes_cordoba_ampliado[[#This Row],[EDAD DELINCUENTE]],'Rango etareo'!$A$10:$A$25,'Rango etareo'!$B$10:$B$25,,-1)</f>
        <v>18 - 25</v>
      </c>
      <c r="M148" s="3" t="s">
        <v>22</v>
      </c>
      <c r="N148" s="3" t="str">
        <f>IF(crimenes_cordoba_ampliado[[#This Row],[Género Delincuente]]="Femenino","🚺","🚹")</f>
        <v>🚹</v>
      </c>
      <c r="O148">
        <v>4</v>
      </c>
      <c r="P148" s="1">
        <v>28771</v>
      </c>
      <c r="Q148" s="7">
        <f>INT((crimenes_cordoba_ampliado[[#This Row],[Fecha]]-crimenes_cordoba_ampliado[[#This Row],[Fecha Nac. Víctima]])/365)</f>
        <v>37</v>
      </c>
      <c r="R148" s="7" t="str">
        <f>_xlfn.XLOOKUP(crimenes_cordoba_ampliado[[#This Row],[EDAD VICTIMA]],'Rango etareo'!$A$2:$A$25,'Rango etareo'!$B$2:$B$25,,-1)</f>
        <v>36 - 45</v>
      </c>
      <c r="S148" s="3" t="s">
        <v>21</v>
      </c>
      <c r="T148" s="3" t="str">
        <f>IF(crimenes_cordoba_ampliado[[#This Row],[Género Víctima]]="Masculino","🚹","🚺")</f>
        <v>🚺</v>
      </c>
      <c r="U148">
        <v>2</v>
      </c>
      <c r="V148" s="3" t="s">
        <v>23</v>
      </c>
      <c r="W148" s="3" t="s">
        <v>24</v>
      </c>
      <c r="X148" s="3" t="s">
        <v>24</v>
      </c>
      <c r="Y148" s="3" t="s">
        <v>24</v>
      </c>
      <c r="Z148" s="3" t="s">
        <v>25</v>
      </c>
      <c r="AA148" s="3" t="s">
        <v>25</v>
      </c>
      <c r="AB148" s="3" t="str">
        <f>IF(crimenes_cordoba_ampliado[[#This Row],[Hubo Arresto]]="Sí", "Resuelto", "Pendiente")</f>
        <v>Resuelto</v>
      </c>
      <c r="AC148" s="3" t="s">
        <v>142</v>
      </c>
      <c r="AD148" s="3"/>
    </row>
    <row r="149" spans="1:30" x14ac:dyDescent="0.25">
      <c r="A149">
        <v>690</v>
      </c>
      <c r="B149" s="1">
        <v>42610</v>
      </c>
      <c r="C149" s="33">
        <f t="shared" si="4"/>
        <v>42610</v>
      </c>
      <c r="D149" s="34">
        <f t="shared" si="5"/>
        <v>42610</v>
      </c>
      <c r="E149" s="35" t="s">
        <v>1449</v>
      </c>
      <c r="F149" s="2">
        <v>0.88749999999999996</v>
      </c>
      <c r="G149" s="3" t="s">
        <v>35</v>
      </c>
      <c r="H149" s="3" t="s">
        <v>55</v>
      </c>
      <c r="I149" s="25" t="str">
        <f>VLOOKUP(H149,Tabla5[#All],4,FALSE)</f>
        <v>-31,4015892433235, -64,160442876477</v>
      </c>
      <c r="J149" s="1">
        <v>35156</v>
      </c>
      <c r="K149" s="7">
        <f>INT((crimenes_cordoba_ampliado[[#This Row],[Fecha]]-crimenes_cordoba_ampliado[[#This Row],[Fecha Nac. Delincuente]])/365)</f>
        <v>20</v>
      </c>
      <c r="L149" s="7" t="str">
        <f>_xlfn.XLOOKUP(crimenes_cordoba_ampliado[[#This Row],[EDAD DELINCUENTE]],'Rango etareo'!$A$10:$A$25,'Rango etareo'!$B$10:$B$25,,-1)</f>
        <v>18 - 25</v>
      </c>
      <c r="M149" s="3" t="s">
        <v>21</v>
      </c>
      <c r="N149" s="3" t="str">
        <f>IF(crimenes_cordoba_ampliado[[#This Row],[Género Delincuente]]="Femenino","🚺","🚹")</f>
        <v>🚺</v>
      </c>
      <c r="O149">
        <v>3</v>
      </c>
      <c r="P149" s="1">
        <v>31557</v>
      </c>
      <c r="Q149" s="7">
        <f>INT((crimenes_cordoba_ampliado[[#This Row],[Fecha]]-crimenes_cordoba_ampliado[[#This Row],[Fecha Nac. Víctima]])/365)</f>
        <v>30</v>
      </c>
      <c r="R149" s="7" t="str">
        <f>_xlfn.XLOOKUP(crimenes_cordoba_ampliado[[#This Row],[EDAD VICTIMA]],'Rango etareo'!$A$2:$A$25,'Rango etareo'!$B$2:$B$25,,-1)</f>
        <v>26 - 35</v>
      </c>
      <c r="S149" s="3" t="s">
        <v>22</v>
      </c>
      <c r="T149" s="3" t="str">
        <f>IF(crimenes_cordoba_ampliado[[#This Row],[Género Víctima]]="Masculino","🚹","🚺")</f>
        <v>🚹</v>
      </c>
      <c r="U149">
        <v>3</v>
      </c>
      <c r="V149" s="3" t="s">
        <v>25</v>
      </c>
      <c r="W149" s="3" t="s">
        <v>71</v>
      </c>
      <c r="X149" s="3" t="s">
        <v>24</v>
      </c>
      <c r="Y149" s="3" t="s">
        <v>77</v>
      </c>
      <c r="Z149" s="3" t="s">
        <v>23</v>
      </c>
      <c r="AA149" s="3" t="s">
        <v>25</v>
      </c>
      <c r="AB149" s="3" t="str">
        <f>IF(crimenes_cordoba_ampliado[[#This Row],[Hubo Arresto]]="Sí", "Resuelto", "Pendiente")</f>
        <v>Pendiente</v>
      </c>
      <c r="AC149" s="3" t="s">
        <v>24</v>
      </c>
      <c r="AD149" s="3"/>
    </row>
    <row r="150" spans="1:30" x14ac:dyDescent="0.25">
      <c r="A150">
        <v>143</v>
      </c>
      <c r="B150" s="1">
        <v>43762</v>
      </c>
      <c r="C150" s="33">
        <f t="shared" si="4"/>
        <v>43762</v>
      </c>
      <c r="D150" s="34">
        <f t="shared" si="5"/>
        <v>43762</v>
      </c>
      <c r="E150" s="35" t="s">
        <v>1454</v>
      </c>
      <c r="F150" s="2">
        <v>7.1527777777777773E-2</v>
      </c>
      <c r="G150" s="3" t="s">
        <v>51</v>
      </c>
      <c r="H150" s="3" t="s">
        <v>28</v>
      </c>
      <c r="I150" s="25" t="str">
        <f>VLOOKUP(H150,Tabla5[#All],4,FALSE)</f>
        <v>-31,4129883640337, -64,1681120522587</v>
      </c>
      <c r="J150" s="1">
        <v>28561</v>
      </c>
      <c r="K150" s="7">
        <f>INT((crimenes_cordoba_ampliado[[#This Row],[Fecha]]-crimenes_cordoba_ampliado[[#This Row],[Fecha Nac. Delincuente]])/365)</f>
        <v>41</v>
      </c>
      <c r="L150" s="7" t="str">
        <f>_xlfn.XLOOKUP(crimenes_cordoba_ampliado[[#This Row],[EDAD DELINCUENTE]],'Rango etareo'!$A$10:$A$25,'Rango etareo'!$B$10:$B$25,,-1)</f>
        <v>36 - 45</v>
      </c>
      <c r="M150" s="3" t="s">
        <v>22</v>
      </c>
      <c r="N150" s="3" t="str">
        <f>IF(crimenes_cordoba_ampliado[[#This Row],[Género Delincuente]]="Femenino","🚺","🚹")</f>
        <v>🚹</v>
      </c>
      <c r="O150">
        <v>5</v>
      </c>
      <c r="P150" s="1">
        <v>40161</v>
      </c>
      <c r="Q150" s="7">
        <f>INT((crimenes_cordoba_ampliado[[#This Row],[Fecha]]-crimenes_cordoba_ampliado[[#This Row],[Fecha Nac. Víctima]])/365)</f>
        <v>9</v>
      </c>
      <c r="R150" s="7" t="str">
        <f>_xlfn.XLOOKUP(crimenes_cordoba_ampliado[[#This Row],[EDAD VICTIMA]],'Rango etareo'!$A$2:$A$25,'Rango etareo'!$B$2:$B$25,,-1)</f>
        <v>&lt;=17</v>
      </c>
      <c r="S150" s="3" t="s">
        <v>21</v>
      </c>
      <c r="T150" s="3" t="str">
        <f>IF(crimenes_cordoba_ampliado[[#This Row],[Género Víctima]]="Masculino","🚹","🚺")</f>
        <v>🚺</v>
      </c>
      <c r="U150">
        <v>3</v>
      </c>
      <c r="V150" s="3" t="s">
        <v>23</v>
      </c>
      <c r="W150" s="3" t="s">
        <v>24</v>
      </c>
      <c r="X150" s="3" t="s">
        <v>24</v>
      </c>
      <c r="Y150" s="3" t="s">
        <v>24</v>
      </c>
      <c r="Z150" s="3" t="s">
        <v>25</v>
      </c>
      <c r="AA150" s="3" t="s">
        <v>23</v>
      </c>
      <c r="AB150" s="3" t="str">
        <f>IF(crimenes_cordoba_ampliado[[#This Row],[Hubo Arresto]]="Sí", "Resuelto", "Pendiente")</f>
        <v>Resuelto</v>
      </c>
      <c r="AC150" s="3" t="s">
        <v>143</v>
      </c>
      <c r="AD150" s="3"/>
    </row>
    <row r="151" spans="1:30" x14ac:dyDescent="0.25">
      <c r="A151">
        <v>684</v>
      </c>
      <c r="B151" s="1">
        <v>42619</v>
      </c>
      <c r="C151" s="33">
        <f t="shared" si="4"/>
        <v>42619</v>
      </c>
      <c r="D151" s="34">
        <f t="shared" si="5"/>
        <v>42619</v>
      </c>
      <c r="E151" s="35" t="s">
        <v>1453</v>
      </c>
      <c r="F151" s="2">
        <v>0.8125</v>
      </c>
      <c r="G151" s="3" t="s">
        <v>19</v>
      </c>
      <c r="H151" s="3" t="s">
        <v>52</v>
      </c>
      <c r="I151" s="25" t="str">
        <f>VLOOKUP(H151,Tabla5[#All],4,FALSE)</f>
        <v>-31,3477902896523, -64,2644406169297</v>
      </c>
      <c r="J151" s="1">
        <v>33113</v>
      </c>
      <c r="K151" s="7">
        <f>INT((crimenes_cordoba_ampliado[[#This Row],[Fecha]]-crimenes_cordoba_ampliado[[#This Row],[Fecha Nac. Delincuente]])/365)</f>
        <v>26</v>
      </c>
      <c r="L151" s="7" t="str">
        <f>_xlfn.XLOOKUP(crimenes_cordoba_ampliado[[#This Row],[EDAD DELINCUENTE]],'Rango etareo'!$A$10:$A$25,'Rango etareo'!$B$10:$B$25,,-1)</f>
        <v>26 - 35</v>
      </c>
      <c r="M151" s="3" t="s">
        <v>21</v>
      </c>
      <c r="N151" s="3" t="str">
        <f>IF(crimenes_cordoba_ampliado[[#This Row],[Género Delincuente]]="Femenino","🚺","🚹")</f>
        <v>🚺</v>
      </c>
      <c r="O151">
        <v>3</v>
      </c>
      <c r="P151" s="1">
        <v>23179</v>
      </c>
      <c r="Q151" s="7">
        <f>INT((crimenes_cordoba_ampliado[[#This Row],[Fecha]]-crimenes_cordoba_ampliado[[#This Row],[Fecha Nac. Víctima]])/365)</f>
        <v>53</v>
      </c>
      <c r="R151" s="7" t="str">
        <f>_xlfn.XLOOKUP(crimenes_cordoba_ampliado[[#This Row],[EDAD VICTIMA]],'Rango etareo'!$A$2:$A$25,'Rango etareo'!$B$2:$B$25,,-1)</f>
        <v>46 - 55</v>
      </c>
      <c r="S151" s="3" t="s">
        <v>22</v>
      </c>
      <c r="T151" s="3" t="str">
        <f>IF(crimenes_cordoba_ampliado[[#This Row],[Género Víctima]]="Masculino","🚹","🚺")</f>
        <v>🚹</v>
      </c>
      <c r="U151">
        <v>1</v>
      </c>
      <c r="V151" s="3" t="s">
        <v>25</v>
      </c>
      <c r="W151" s="3" t="s">
        <v>24</v>
      </c>
      <c r="X151" s="3" t="s">
        <v>24</v>
      </c>
      <c r="Y151" s="3" t="s">
        <v>24</v>
      </c>
      <c r="Z151" s="3" t="s">
        <v>23</v>
      </c>
      <c r="AA151" s="3" t="s">
        <v>23</v>
      </c>
      <c r="AB151" s="3" t="str">
        <f>IF(crimenes_cordoba_ampliado[[#This Row],[Hubo Arresto]]="Sí", "Resuelto", "Pendiente")</f>
        <v>Pendiente</v>
      </c>
      <c r="AC151" s="3" t="s">
        <v>24</v>
      </c>
      <c r="AD151" s="3"/>
    </row>
    <row r="152" spans="1:30" x14ac:dyDescent="0.25">
      <c r="A152">
        <v>144</v>
      </c>
      <c r="B152" s="1">
        <v>44301</v>
      </c>
      <c r="C152" s="33">
        <f t="shared" si="4"/>
        <v>44301</v>
      </c>
      <c r="D152" s="34">
        <f t="shared" si="5"/>
        <v>44301</v>
      </c>
      <c r="E152" s="35" t="s">
        <v>1454</v>
      </c>
      <c r="F152" s="2">
        <v>0.49166666666666664</v>
      </c>
      <c r="G152" s="3" t="s">
        <v>31</v>
      </c>
      <c r="H152" s="3" t="s">
        <v>28</v>
      </c>
      <c r="I152" s="25" t="str">
        <f>VLOOKUP(H152,Tabla5[#All],4,FALSE)</f>
        <v>-31,4129883640337, -64,1681120522587</v>
      </c>
      <c r="J152" s="1">
        <v>38135</v>
      </c>
      <c r="K152" s="7">
        <f>INT((crimenes_cordoba_ampliado[[#This Row],[Fecha]]-crimenes_cordoba_ampliado[[#This Row],[Fecha Nac. Delincuente]])/365)</f>
        <v>16</v>
      </c>
      <c r="L152" s="7" t="str">
        <f>_xlfn.XLOOKUP(crimenes_cordoba_ampliado[[#This Row],[EDAD DELINCUENTE]],'Rango etareo'!$A$10:$A$25,'Rango etareo'!$B$10:$B$25,,-1)</f>
        <v>&lt;=17</v>
      </c>
      <c r="M152" s="3" t="s">
        <v>21</v>
      </c>
      <c r="N152" s="3" t="str">
        <f>IF(crimenes_cordoba_ampliado[[#This Row],[Género Delincuente]]="Femenino","🚺","🚹")</f>
        <v>🚺</v>
      </c>
      <c r="O152">
        <v>4</v>
      </c>
      <c r="P152" s="1">
        <v>39508</v>
      </c>
      <c r="Q152" s="7">
        <f>INT((crimenes_cordoba_ampliado[[#This Row],[Fecha]]-crimenes_cordoba_ampliado[[#This Row],[Fecha Nac. Víctima]])/365)</f>
        <v>13</v>
      </c>
      <c r="R152" s="7" t="str">
        <f>_xlfn.XLOOKUP(crimenes_cordoba_ampliado[[#This Row],[EDAD VICTIMA]],'Rango etareo'!$A$2:$A$25,'Rango etareo'!$B$2:$B$25,,-1)</f>
        <v>&lt;=17</v>
      </c>
      <c r="S152" s="3" t="s">
        <v>22</v>
      </c>
      <c r="T152" s="3" t="str">
        <f>IF(crimenes_cordoba_ampliado[[#This Row],[Género Víctima]]="Masculino","🚹","🚺")</f>
        <v>🚹</v>
      </c>
      <c r="U152">
        <v>1</v>
      </c>
      <c r="V152" s="3" t="s">
        <v>23</v>
      </c>
      <c r="W152" s="3" t="s">
        <v>24</v>
      </c>
      <c r="X152" s="3" t="s">
        <v>50</v>
      </c>
      <c r="Y152" s="3" t="s">
        <v>24</v>
      </c>
      <c r="Z152" s="3" t="s">
        <v>25</v>
      </c>
      <c r="AA152" s="3" t="s">
        <v>23</v>
      </c>
      <c r="AB152" s="3" t="str">
        <f>IF(crimenes_cordoba_ampliado[[#This Row],[Hubo Arresto]]="Sí", "Resuelto", "Pendiente")</f>
        <v>Resuelto</v>
      </c>
      <c r="AC152" s="3" t="s">
        <v>144</v>
      </c>
      <c r="AD152" s="3"/>
    </row>
    <row r="153" spans="1:30" x14ac:dyDescent="0.25">
      <c r="A153">
        <v>145</v>
      </c>
      <c r="B153" s="1">
        <v>44635</v>
      </c>
      <c r="C153" s="33">
        <f t="shared" si="4"/>
        <v>44635</v>
      </c>
      <c r="D153" s="34">
        <f t="shared" si="5"/>
        <v>44635</v>
      </c>
      <c r="E153" s="35" t="s">
        <v>1453</v>
      </c>
      <c r="F153" s="2">
        <v>0.42777777777777776</v>
      </c>
      <c r="G153" s="3" t="s">
        <v>42</v>
      </c>
      <c r="H153" s="3" t="s">
        <v>62</v>
      </c>
      <c r="I153" s="25" t="str">
        <f>VLOOKUP(H153,Tabla5[#All],4,FALSE)</f>
        <v>-31,3909520937826, -64,1836424491715</v>
      </c>
      <c r="J153" s="1">
        <v>32123</v>
      </c>
      <c r="K153" s="7">
        <f>INT((crimenes_cordoba_ampliado[[#This Row],[Fecha]]-crimenes_cordoba_ampliado[[#This Row],[Fecha Nac. Delincuente]])/365)</f>
        <v>34</v>
      </c>
      <c r="L153" s="7" t="str">
        <f>_xlfn.XLOOKUP(crimenes_cordoba_ampliado[[#This Row],[EDAD DELINCUENTE]],'Rango etareo'!$A$10:$A$25,'Rango etareo'!$B$10:$B$25,,-1)</f>
        <v>26 - 35</v>
      </c>
      <c r="M153" s="3" t="s">
        <v>22</v>
      </c>
      <c r="N153" s="3" t="str">
        <f>IF(crimenes_cordoba_ampliado[[#This Row],[Género Delincuente]]="Femenino","🚺","🚹")</f>
        <v>🚹</v>
      </c>
      <c r="O153">
        <v>2</v>
      </c>
      <c r="P153" s="1">
        <v>32787</v>
      </c>
      <c r="Q153" s="7">
        <f>INT((crimenes_cordoba_ampliado[[#This Row],[Fecha]]-crimenes_cordoba_ampliado[[#This Row],[Fecha Nac. Víctima]])/365)</f>
        <v>32</v>
      </c>
      <c r="R153" s="7" t="str">
        <f>_xlfn.XLOOKUP(crimenes_cordoba_ampliado[[#This Row],[EDAD VICTIMA]],'Rango etareo'!$A$2:$A$25,'Rango etareo'!$B$2:$B$25,,-1)</f>
        <v>26 - 35</v>
      </c>
      <c r="S153" s="3" t="s">
        <v>22</v>
      </c>
      <c r="T153" s="3" t="str">
        <f>IF(crimenes_cordoba_ampliado[[#This Row],[Género Víctima]]="Masculino","🚹","🚺")</f>
        <v>🚹</v>
      </c>
      <c r="U153">
        <v>1</v>
      </c>
      <c r="V153" s="3" t="s">
        <v>23</v>
      </c>
      <c r="W153" s="3" t="s">
        <v>24</v>
      </c>
      <c r="X153" s="3" t="s">
        <v>24</v>
      </c>
      <c r="Y153" s="3" t="s">
        <v>106</v>
      </c>
      <c r="Z153" s="3" t="s">
        <v>23</v>
      </c>
      <c r="AA153" s="3" t="s">
        <v>25</v>
      </c>
      <c r="AB153" s="3" t="str">
        <f>IF(crimenes_cordoba_ampliado[[#This Row],[Hubo Arresto]]="Sí", "Resuelto", "Pendiente")</f>
        <v>Resuelto</v>
      </c>
      <c r="AC153" s="3" t="s">
        <v>145</v>
      </c>
      <c r="AD153" s="3"/>
    </row>
    <row r="154" spans="1:30" x14ac:dyDescent="0.25">
      <c r="A154">
        <v>148</v>
      </c>
      <c r="B154" s="1">
        <v>45359</v>
      </c>
      <c r="C154" s="33">
        <f t="shared" si="4"/>
        <v>45359</v>
      </c>
      <c r="D154" s="34">
        <f t="shared" si="5"/>
        <v>45359</v>
      </c>
      <c r="E154" s="35" t="s">
        <v>1455</v>
      </c>
      <c r="F154" s="2">
        <v>0.10833333333333334</v>
      </c>
      <c r="G154" s="3" t="s">
        <v>42</v>
      </c>
      <c r="H154" s="3" t="s">
        <v>55</v>
      </c>
      <c r="I154" s="25" t="str">
        <f>VLOOKUP(H154,Tabla5[#All],4,FALSE)</f>
        <v>-31,4015892433235, -64,160442876477</v>
      </c>
      <c r="J154" s="1">
        <v>26470</v>
      </c>
      <c r="K154" s="7">
        <f>INT((crimenes_cordoba_ampliado[[#This Row],[Fecha]]-crimenes_cordoba_ampliado[[#This Row],[Fecha Nac. Delincuente]])/365)</f>
        <v>51</v>
      </c>
      <c r="L154" s="7" t="str">
        <f>_xlfn.XLOOKUP(crimenes_cordoba_ampliado[[#This Row],[EDAD DELINCUENTE]],'Rango etareo'!$A$10:$A$25,'Rango etareo'!$B$10:$B$25,,-1)</f>
        <v>46 - 55</v>
      </c>
      <c r="M154" s="3" t="s">
        <v>21</v>
      </c>
      <c r="N154" s="3" t="str">
        <f>IF(crimenes_cordoba_ampliado[[#This Row],[Género Delincuente]]="Femenino","🚺","🚹")</f>
        <v>🚺</v>
      </c>
      <c r="O154">
        <v>1</v>
      </c>
      <c r="P154" s="1">
        <v>39373</v>
      </c>
      <c r="Q154" s="7">
        <f>INT((crimenes_cordoba_ampliado[[#This Row],[Fecha]]-crimenes_cordoba_ampliado[[#This Row],[Fecha Nac. Víctima]])/365)</f>
        <v>16</v>
      </c>
      <c r="R154" s="7" t="str">
        <f>_xlfn.XLOOKUP(crimenes_cordoba_ampliado[[#This Row],[EDAD VICTIMA]],'Rango etareo'!$A$2:$A$25,'Rango etareo'!$B$2:$B$25,,-1)</f>
        <v>&lt;=17</v>
      </c>
      <c r="S154" s="3" t="s">
        <v>21</v>
      </c>
      <c r="T154" s="3" t="str">
        <f>IF(crimenes_cordoba_ampliado[[#This Row],[Género Víctima]]="Masculino","🚹","🚺")</f>
        <v>🚺</v>
      </c>
      <c r="U154">
        <v>2</v>
      </c>
      <c r="V154" s="3" t="s">
        <v>23</v>
      </c>
      <c r="W154" s="3" t="s">
        <v>24</v>
      </c>
      <c r="X154" s="3" t="s">
        <v>24</v>
      </c>
      <c r="Y154" s="3" t="s">
        <v>24</v>
      </c>
      <c r="Z154" s="3" t="s">
        <v>25</v>
      </c>
      <c r="AA154" s="3" t="s">
        <v>25</v>
      </c>
      <c r="AB154" s="3" t="str">
        <f>IF(crimenes_cordoba_ampliado[[#This Row],[Hubo Arresto]]="Sí", "Resuelto", "Pendiente")</f>
        <v>Resuelto</v>
      </c>
      <c r="AC154" s="3" t="s">
        <v>146</v>
      </c>
      <c r="AD154" s="3"/>
    </row>
    <row r="155" spans="1:30" x14ac:dyDescent="0.25">
      <c r="A155">
        <v>735</v>
      </c>
      <c r="B155" s="1">
        <v>42632</v>
      </c>
      <c r="C155" s="33">
        <f t="shared" si="4"/>
        <v>42632</v>
      </c>
      <c r="D155" s="34">
        <f t="shared" si="5"/>
        <v>42632</v>
      </c>
      <c r="E155" s="35" t="s">
        <v>1452</v>
      </c>
      <c r="F155" s="2">
        <v>0.4777777777777778</v>
      </c>
      <c r="G155" s="3" t="s">
        <v>38</v>
      </c>
      <c r="H155" s="3" t="s">
        <v>52</v>
      </c>
      <c r="I155" s="25" t="str">
        <f>VLOOKUP(H155,Tabla5[#All],4,FALSE)</f>
        <v>-31,3477902896523, -64,2644406169297</v>
      </c>
      <c r="J155" s="1">
        <v>18331</v>
      </c>
      <c r="K155" s="7">
        <f>INT((crimenes_cordoba_ampliado[[#This Row],[Fecha]]-crimenes_cordoba_ampliado[[#This Row],[Fecha Nac. Delincuente]])/365)</f>
        <v>66</v>
      </c>
      <c r="L155" s="7" t="str">
        <f>_xlfn.XLOOKUP(crimenes_cordoba_ampliado[[#This Row],[EDAD DELINCUENTE]],'Rango etareo'!$A$10:$A$25,'Rango etareo'!$B$10:$B$25,,-1)</f>
        <v>&gt;65</v>
      </c>
      <c r="M155" s="3" t="s">
        <v>22</v>
      </c>
      <c r="N155" s="3" t="str">
        <f>IF(crimenes_cordoba_ampliado[[#This Row],[Género Delincuente]]="Femenino","🚺","🚹")</f>
        <v>🚹</v>
      </c>
      <c r="O155">
        <v>2</v>
      </c>
      <c r="P155" s="1">
        <v>23181</v>
      </c>
      <c r="Q155" s="7">
        <f>INT((crimenes_cordoba_ampliado[[#This Row],[Fecha]]-crimenes_cordoba_ampliado[[#This Row],[Fecha Nac. Víctima]])/365)</f>
        <v>53</v>
      </c>
      <c r="R155" s="7" t="str">
        <f>_xlfn.XLOOKUP(crimenes_cordoba_ampliado[[#This Row],[EDAD VICTIMA]],'Rango etareo'!$A$2:$A$25,'Rango etareo'!$B$2:$B$25,,-1)</f>
        <v>46 - 55</v>
      </c>
      <c r="S155" s="3" t="s">
        <v>22</v>
      </c>
      <c r="T155" s="3" t="str">
        <f>IF(crimenes_cordoba_ampliado[[#This Row],[Género Víctima]]="Masculino","🚹","🚺")</f>
        <v>🚹</v>
      </c>
      <c r="U155">
        <v>2</v>
      </c>
      <c r="V155" s="3" t="s">
        <v>25</v>
      </c>
      <c r="W155" s="3" t="s">
        <v>24</v>
      </c>
      <c r="X155" s="3" t="s">
        <v>24</v>
      </c>
      <c r="Y155" s="3" t="s">
        <v>43</v>
      </c>
      <c r="Z155" s="3" t="s">
        <v>25</v>
      </c>
      <c r="AA155" s="3" t="s">
        <v>25</v>
      </c>
      <c r="AB155" s="3" t="str">
        <f>IF(crimenes_cordoba_ampliado[[#This Row],[Hubo Arresto]]="Sí", "Resuelto", "Pendiente")</f>
        <v>Pendiente</v>
      </c>
      <c r="AC155" s="3" t="s">
        <v>24</v>
      </c>
      <c r="AD155" s="3"/>
    </row>
    <row r="156" spans="1:30" x14ac:dyDescent="0.25">
      <c r="A156">
        <v>150</v>
      </c>
      <c r="B156" s="1">
        <v>42921</v>
      </c>
      <c r="C156" s="33">
        <f t="shared" si="4"/>
        <v>42921</v>
      </c>
      <c r="D156" s="34">
        <f t="shared" si="5"/>
        <v>42921</v>
      </c>
      <c r="E156" s="35" t="s">
        <v>1450</v>
      </c>
      <c r="F156" s="2">
        <v>0.41388888888888886</v>
      </c>
      <c r="G156" s="3" t="s">
        <v>35</v>
      </c>
      <c r="H156" s="3" t="s">
        <v>40</v>
      </c>
      <c r="I156" s="25" t="str">
        <f>VLOOKUP(H156,Tabla5[#All],4,FALSE)</f>
        <v>-31,334500143441, -64,2460773260564</v>
      </c>
      <c r="J156" s="1">
        <v>24833</v>
      </c>
      <c r="K156" s="7">
        <f>INT((crimenes_cordoba_ampliado[[#This Row],[Fecha]]-crimenes_cordoba_ampliado[[#This Row],[Fecha Nac. Delincuente]])/365)</f>
        <v>49</v>
      </c>
      <c r="L156" s="7" t="str">
        <f>_xlfn.XLOOKUP(crimenes_cordoba_ampliado[[#This Row],[EDAD DELINCUENTE]],'Rango etareo'!$A$10:$A$25,'Rango etareo'!$B$10:$B$25,,-1)</f>
        <v>46 - 55</v>
      </c>
      <c r="M156" s="3" t="s">
        <v>21</v>
      </c>
      <c r="N156" s="3" t="str">
        <f>IF(crimenes_cordoba_ampliado[[#This Row],[Género Delincuente]]="Femenino","🚺","🚹")</f>
        <v>🚺</v>
      </c>
      <c r="O156">
        <v>3</v>
      </c>
      <c r="P156" s="1">
        <v>41476</v>
      </c>
      <c r="Q156" s="7">
        <f>INT((crimenes_cordoba_ampliado[[#This Row],[Fecha]]-crimenes_cordoba_ampliado[[#This Row],[Fecha Nac. Víctima]])/365)</f>
        <v>3</v>
      </c>
      <c r="R156" s="7" t="str">
        <f>_xlfn.XLOOKUP(crimenes_cordoba_ampliado[[#This Row],[EDAD VICTIMA]],'Rango etareo'!$A$2:$A$25,'Rango etareo'!$B$2:$B$25,,-1)</f>
        <v>&lt;=17</v>
      </c>
      <c r="S156" s="3" t="s">
        <v>21</v>
      </c>
      <c r="T156" s="3" t="str">
        <f>IF(crimenes_cordoba_ampliado[[#This Row],[Género Víctima]]="Masculino","🚹","🚺")</f>
        <v>🚺</v>
      </c>
      <c r="U156">
        <v>2</v>
      </c>
      <c r="V156" s="3" t="s">
        <v>23</v>
      </c>
      <c r="W156" s="3" t="s">
        <v>24</v>
      </c>
      <c r="X156" s="3" t="s">
        <v>24</v>
      </c>
      <c r="Y156" s="3" t="s">
        <v>69</v>
      </c>
      <c r="Z156" s="3" t="s">
        <v>25</v>
      </c>
      <c r="AA156" s="3" t="s">
        <v>23</v>
      </c>
      <c r="AB156" s="3" t="str">
        <f>IF(crimenes_cordoba_ampliado[[#This Row],[Hubo Arresto]]="Sí", "Resuelto", "Pendiente")</f>
        <v>Resuelto</v>
      </c>
      <c r="AC156" s="3" t="s">
        <v>147</v>
      </c>
      <c r="AD156" s="3"/>
    </row>
    <row r="157" spans="1:30" x14ac:dyDescent="0.25">
      <c r="A157">
        <v>160</v>
      </c>
      <c r="B157" s="1">
        <v>42640</v>
      </c>
      <c r="C157" s="33">
        <f t="shared" si="4"/>
        <v>42640</v>
      </c>
      <c r="D157" s="34">
        <f t="shared" si="5"/>
        <v>42640</v>
      </c>
      <c r="E157" s="35" t="s">
        <v>1453</v>
      </c>
      <c r="F157" s="2">
        <v>0.13819444444444445</v>
      </c>
      <c r="G157" s="3" t="s">
        <v>19</v>
      </c>
      <c r="H157" s="3" t="s">
        <v>40</v>
      </c>
      <c r="I157" s="25" t="str">
        <f>VLOOKUP(H157,Tabla5[#All],4,FALSE)</f>
        <v>-31,334500143441, -64,2460773260564</v>
      </c>
      <c r="J157" s="1">
        <v>35708</v>
      </c>
      <c r="K157" s="7">
        <f>INT((crimenes_cordoba_ampliado[[#This Row],[Fecha]]-crimenes_cordoba_ampliado[[#This Row],[Fecha Nac. Delincuente]])/365)</f>
        <v>18</v>
      </c>
      <c r="L157" s="7" t="str">
        <f>_xlfn.XLOOKUP(crimenes_cordoba_ampliado[[#This Row],[EDAD DELINCUENTE]],'Rango etareo'!$A$10:$A$25,'Rango etareo'!$B$10:$B$25,,-1)</f>
        <v>18 - 25</v>
      </c>
      <c r="M157" s="3" t="s">
        <v>21</v>
      </c>
      <c r="N157" s="3" t="str">
        <f>IF(crimenes_cordoba_ampliado[[#This Row],[Género Delincuente]]="Femenino","🚺","🚹")</f>
        <v>🚺</v>
      </c>
      <c r="O157">
        <v>3</v>
      </c>
      <c r="P157" s="1">
        <v>41968</v>
      </c>
      <c r="Q157" s="7">
        <f>INT((crimenes_cordoba_ampliado[[#This Row],[Fecha]]-crimenes_cordoba_ampliado[[#This Row],[Fecha Nac. Víctima]])/365)</f>
        <v>1</v>
      </c>
      <c r="R157" s="7" t="str">
        <f>_xlfn.XLOOKUP(crimenes_cordoba_ampliado[[#This Row],[EDAD VICTIMA]],'Rango etareo'!$A$2:$A$25,'Rango etareo'!$B$2:$B$25,,-1)</f>
        <v>&lt;=17</v>
      </c>
      <c r="S157" s="3" t="s">
        <v>21</v>
      </c>
      <c r="T157" s="3" t="str">
        <f>IF(crimenes_cordoba_ampliado[[#This Row],[Género Víctima]]="Masculino","🚹","🚺")</f>
        <v>🚺</v>
      </c>
      <c r="U157">
        <v>1</v>
      </c>
      <c r="V157" s="3" t="s">
        <v>25</v>
      </c>
      <c r="W157" s="3" t="s">
        <v>24</v>
      </c>
      <c r="X157" s="3" t="s">
        <v>24</v>
      </c>
      <c r="Y157" s="3" t="s">
        <v>106</v>
      </c>
      <c r="Z157" s="3" t="s">
        <v>25</v>
      </c>
      <c r="AA157" s="3" t="s">
        <v>25</v>
      </c>
      <c r="AB157" s="3" t="str">
        <f>IF(crimenes_cordoba_ampliado[[#This Row],[Hubo Arresto]]="Sí", "Resuelto", "Pendiente")</f>
        <v>Pendiente</v>
      </c>
      <c r="AC157" s="3" t="s">
        <v>24</v>
      </c>
      <c r="AD157" s="3"/>
    </row>
    <row r="158" spans="1:30" x14ac:dyDescent="0.25">
      <c r="A158">
        <v>151</v>
      </c>
      <c r="B158" s="1">
        <v>43757</v>
      </c>
      <c r="C158" s="33">
        <f t="shared" si="4"/>
        <v>43757</v>
      </c>
      <c r="D158" s="34">
        <f t="shared" si="5"/>
        <v>43757</v>
      </c>
      <c r="E158" s="35" t="s">
        <v>1451</v>
      </c>
      <c r="F158" s="2">
        <v>0.48541666666666666</v>
      </c>
      <c r="G158" s="3" t="s">
        <v>45</v>
      </c>
      <c r="H158" s="3" t="s">
        <v>32</v>
      </c>
      <c r="I158" s="25" t="str">
        <f>VLOOKUP(H158,Tabla5[#All],4,FALSE)</f>
        <v>-31,4148488101991, -64,1793406489438</v>
      </c>
      <c r="J158" s="1">
        <v>37244</v>
      </c>
      <c r="K158" s="7">
        <f>INT((crimenes_cordoba_ampliado[[#This Row],[Fecha]]-crimenes_cordoba_ampliado[[#This Row],[Fecha Nac. Delincuente]])/365)</f>
        <v>17</v>
      </c>
      <c r="L158" s="7" t="str">
        <f>_xlfn.XLOOKUP(crimenes_cordoba_ampliado[[#This Row],[EDAD DELINCUENTE]],'Rango etareo'!$A$10:$A$25,'Rango etareo'!$B$10:$B$25,,-1)</f>
        <v>&lt;=17</v>
      </c>
      <c r="M158" s="3" t="s">
        <v>21</v>
      </c>
      <c r="N158" s="3" t="str">
        <f>IF(crimenes_cordoba_ampliado[[#This Row],[Género Delincuente]]="Femenino","🚺","🚹")</f>
        <v>🚺</v>
      </c>
      <c r="O158">
        <v>3</v>
      </c>
      <c r="P158" s="1">
        <v>21726</v>
      </c>
      <c r="Q158" s="7">
        <f>INT((crimenes_cordoba_ampliado[[#This Row],[Fecha]]-crimenes_cordoba_ampliado[[#This Row],[Fecha Nac. Víctima]])/365)</f>
        <v>60</v>
      </c>
      <c r="R158" s="7" t="str">
        <f>_xlfn.XLOOKUP(crimenes_cordoba_ampliado[[#This Row],[EDAD VICTIMA]],'Rango etareo'!$A$2:$A$25,'Rango etareo'!$B$2:$B$25,,-1)</f>
        <v>56 - 65</v>
      </c>
      <c r="S158" s="3" t="s">
        <v>22</v>
      </c>
      <c r="T158" s="3" t="str">
        <f>IF(crimenes_cordoba_ampliado[[#This Row],[Género Víctima]]="Masculino","🚹","🚺")</f>
        <v>🚹</v>
      </c>
      <c r="U158">
        <v>1</v>
      </c>
      <c r="V158" s="3" t="s">
        <v>23</v>
      </c>
      <c r="W158" s="3" t="s">
        <v>24</v>
      </c>
      <c r="X158" s="3" t="s">
        <v>24</v>
      </c>
      <c r="Y158" s="3" t="s">
        <v>24</v>
      </c>
      <c r="Z158" s="3" t="s">
        <v>25</v>
      </c>
      <c r="AA158" s="3" t="s">
        <v>25</v>
      </c>
      <c r="AB158" s="3" t="str">
        <f>IF(crimenes_cordoba_ampliado[[#This Row],[Hubo Arresto]]="Sí", "Resuelto", "Pendiente")</f>
        <v>Resuelto</v>
      </c>
      <c r="AC158" s="3" t="s">
        <v>148</v>
      </c>
      <c r="AD158" s="3"/>
    </row>
    <row r="159" spans="1:30" x14ac:dyDescent="0.25">
      <c r="A159">
        <v>726</v>
      </c>
      <c r="B159" s="1">
        <v>42647</v>
      </c>
      <c r="C159" s="33">
        <f t="shared" si="4"/>
        <v>42647</v>
      </c>
      <c r="D159" s="34">
        <f t="shared" si="5"/>
        <v>42647</v>
      </c>
      <c r="E159" s="35" t="s">
        <v>1453</v>
      </c>
      <c r="F159" s="2">
        <v>0.51180555555555551</v>
      </c>
      <c r="G159" s="3" t="s">
        <v>38</v>
      </c>
      <c r="H159" s="3" t="s">
        <v>20</v>
      </c>
      <c r="I159" s="25" t="str">
        <f>VLOOKUP(H159,Tabla5[#All],4,FALSE)</f>
        <v>-31,4800162965848, -64,2094200976892</v>
      </c>
      <c r="J159" s="1">
        <v>21244</v>
      </c>
      <c r="K159" s="7">
        <f>INT((crimenes_cordoba_ampliado[[#This Row],[Fecha]]-crimenes_cordoba_ampliado[[#This Row],[Fecha Nac. Delincuente]])/365)</f>
        <v>58</v>
      </c>
      <c r="L159" s="7" t="str">
        <f>_xlfn.XLOOKUP(crimenes_cordoba_ampliado[[#This Row],[EDAD DELINCUENTE]],'Rango etareo'!$A$10:$A$25,'Rango etareo'!$B$10:$B$25,,-1)</f>
        <v>56 - 65</v>
      </c>
      <c r="M159" s="3" t="s">
        <v>21</v>
      </c>
      <c r="N159" s="3" t="str">
        <f>IF(crimenes_cordoba_ampliado[[#This Row],[Género Delincuente]]="Femenino","🚺","🚹")</f>
        <v>🚺</v>
      </c>
      <c r="O159">
        <v>2</v>
      </c>
      <c r="P159" s="1">
        <v>34840</v>
      </c>
      <c r="Q159" s="7">
        <f>INT((crimenes_cordoba_ampliado[[#This Row],[Fecha]]-crimenes_cordoba_ampliado[[#This Row],[Fecha Nac. Víctima]])/365)</f>
        <v>21</v>
      </c>
      <c r="R159" s="7" t="str">
        <f>_xlfn.XLOOKUP(crimenes_cordoba_ampliado[[#This Row],[EDAD VICTIMA]],'Rango etareo'!$A$2:$A$25,'Rango etareo'!$B$2:$B$25,,-1)</f>
        <v>18 - 25</v>
      </c>
      <c r="S159" s="3" t="s">
        <v>22</v>
      </c>
      <c r="T159" s="3" t="str">
        <f>IF(crimenes_cordoba_ampliado[[#This Row],[Género Víctima]]="Masculino","🚹","🚺")</f>
        <v>🚹</v>
      </c>
      <c r="U159">
        <v>2</v>
      </c>
      <c r="V159" s="3" t="s">
        <v>25</v>
      </c>
      <c r="W159" s="3" t="s">
        <v>24</v>
      </c>
      <c r="X159" s="3" t="s">
        <v>24</v>
      </c>
      <c r="Y159" s="3" t="s">
        <v>43</v>
      </c>
      <c r="Z159" s="3" t="s">
        <v>23</v>
      </c>
      <c r="AA159" s="3" t="s">
        <v>25</v>
      </c>
      <c r="AB159" s="3" t="str">
        <f>IF(crimenes_cordoba_ampliado[[#This Row],[Hubo Arresto]]="Sí", "Resuelto", "Pendiente")</f>
        <v>Pendiente</v>
      </c>
      <c r="AC159" s="3" t="s">
        <v>24</v>
      </c>
      <c r="AD159" s="3"/>
    </row>
    <row r="160" spans="1:30" x14ac:dyDescent="0.25">
      <c r="A160">
        <v>417</v>
      </c>
      <c r="B160" s="1">
        <v>42650</v>
      </c>
      <c r="C160" s="33">
        <f t="shared" si="4"/>
        <v>42650</v>
      </c>
      <c r="D160" s="34">
        <f t="shared" si="5"/>
        <v>42650</v>
      </c>
      <c r="E160" s="35" t="s">
        <v>1455</v>
      </c>
      <c r="F160" s="2">
        <v>0.84097222222222223</v>
      </c>
      <c r="G160" s="3" t="s">
        <v>19</v>
      </c>
      <c r="H160" s="3" t="s">
        <v>40</v>
      </c>
      <c r="I160" s="25" t="str">
        <f>VLOOKUP(H160,Tabla5[#All],4,FALSE)</f>
        <v>-31,334500143441, -64,2460773260564</v>
      </c>
      <c r="J160" s="1">
        <v>38870</v>
      </c>
      <c r="K160" s="7">
        <f>INT((crimenes_cordoba_ampliado[[#This Row],[Fecha]]-crimenes_cordoba_ampliado[[#This Row],[Fecha Nac. Delincuente]])/365)</f>
        <v>10</v>
      </c>
      <c r="L160" s="7" t="str">
        <f>_xlfn.XLOOKUP(crimenes_cordoba_ampliado[[#This Row],[EDAD DELINCUENTE]],'Rango etareo'!$A$10:$A$25,'Rango etareo'!$B$10:$B$25,,-1)</f>
        <v>&lt;=17</v>
      </c>
      <c r="M160" s="3" t="s">
        <v>21</v>
      </c>
      <c r="N160" s="3" t="str">
        <f>IF(crimenes_cordoba_ampliado[[#This Row],[Género Delincuente]]="Femenino","🚺","🚹")</f>
        <v>🚺</v>
      </c>
      <c r="O160">
        <v>1</v>
      </c>
      <c r="P160" s="1">
        <v>22118</v>
      </c>
      <c r="Q160" s="7">
        <f>INT((crimenes_cordoba_ampliado[[#This Row],[Fecha]]-crimenes_cordoba_ampliado[[#This Row],[Fecha Nac. Víctima]])/365)</f>
        <v>56</v>
      </c>
      <c r="R160" s="7" t="str">
        <f>_xlfn.XLOOKUP(crimenes_cordoba_ampliado[[#This Row],[EDAD VICTIMA]],'Rango etareo'!$A$2:$A$25,'Rango etareo'!$B$2:$B$25,,-1)</f>
        <v>56 - 65</v>
      </c>
      <c r="S160" s="3" t="s">
        <v>22</v>
      </c>
      <c r="T160" s="3" t="str">
        <f>IF(crimenes_cordoba_ampliado[[#This Row],[Género Víctima]]="Masculino","🚹","🚺")</f>
        <v>🚹</v>
      </c>
      <c r="U160">
        <v>3</v>
      </c>
      <c r="V160" s="3" t="s">
        <v>25</v>
      </c>
      <c r="W160" s="3" t="s">
        <v>24</v>
      </c>
      <c r="X160" s="3" t="s">
        <v>24</v>
      </c>
      <c r="Y160" s="3" t="s">
        <v>24</v>
      </c>
      <c r="Z160" s="3" t="s">
        <v>25</v>
      </c>
      <c r="AA160" s="3" t="s">
        <v>25</v>
      </c>
      <c r="AB160" s="3" t="str">
        <f>IF(crimenes_cordoba_ampliado[[#This Row],[Hubo Arresto]]="Sí", "Resuelto", "Pendiente")</f>
        <v>Pendiente</v>
      </c>
      <c r="AC160" s="3" t="s">
        <v>24</v>
      </c>
      <c r="AD160" s="3"/>
    </row>
    <row r="161" spans="1:30" x14ac:dyDescent="0.25">
      <c r="A161">
        <v>486</v>
      </c>
      <c r="B161" s="1">
        <v>42652</v>
      </c>
      <c r="C161" s="33">
        <f t="shared" si="4"/>
        <v>42652</v>
      </c>
      <c r="D161" s="34">
        <f t="shared" si="5"/>
        <v>42652</v>
      </c>
      <c r="E161" s="35" t="s">
        <v>1449</v>
      </c>
      <c r="F161" s="2">
        <v>0.56041666666666667</v>
      </c>
      <c r="G161" s="3" t="s">
        <v>79</v>
      </c>
      <c r="H161" s="3" t="s">
        <v>32</v>
      </c>
      <c r="I161" s="25" t="str">
        <f>VLOOKUP(H161,Tabla5[#All],4,FALSE)</f>
        <v>-31,4148488101991, -64,1793406489438</v>
      </c>
      <c r="J161" s="1">
        <v>30578</v>
      </c>
      <c r="K161" s="7">
        <f>INT((crimenes_cordoba_ampliado[[#This Row],[Fecha]]-crimenes_cordoba_ampliado[[#This Row],[Fecha Nac. Delincuente]])/365)</f>
        <v>33</v>
      </c>
      <c r="L161" s="7" t="str">
        <f>_xlfn.XLOOKUP(crimenes_cordoba_ampliado[[#This Row],[EDAD DELINCUENTE]],'Rango etareo'!$A$10:$A$25,'Rango etareo'!$B$10:$B$25,,-1)</f>
        <v>26 - 35</v>
      </c>
      <c r="M161" s="3" t="s">
        <v>21</v>
      </c>
      <c r="N161" s="3" t="str">
        <f>IF(crimenes_cordoba_ampliado[[#This Row],[Género Delincuente]]="Femenino","🚺","🚹")</f>
        <v>🚺</v>
      </c>
      <c r="O161">
        <v>4</v>
      </c>
      <c r="P161" s="1">
        <v>30228</v>
      </c>
      <c r="Q161" s="7">
        <f>INT((crimenes_cordoba_ampliado[[#This Row],[Fecha]]-crimenes_cordoba_ampliado[[#This Row],[Fecha Nac. Víctima]])/365)</f>
        <v>34</v>
      </c>
      <c r="R161" s="7" t="str">
        <f>_xlfn.XLOOKUP(crimenes_cordoba_ampliado[[#This Row],[EDAD VICTIMA]],'Rango etareo'!$A$2:$A$25,'Rango etareo'!$B$2:$B$25,,-1)</f>
        <v>26 - 35</v>
      </c>
      <c r="S161" s="3" t="s">
        <v>21</v>
      </c>
      <c r="T161" s="3" t="str">
        <f>IF(crimenes_cordoba_ampliado[[#This Row],[Género Víctima]]="Masculino","🚹","🚺")</f>
        <v>🚺</v>
      </c>
      <c r="U161">
        <v>2</v>
      </c>
      <c r="V161" s="3" t="s">
        <v>25</v>
      </c>
      <c r="W161" s="3" t="s">
        <v>24</v>
      </c>
      <c r="X161" s="3" t="s">
        <v>24</v>
      </c>
      <c r="Y161" s="3" t="s">
        <v>69</v>
      </c>
      <c r="Z161" s="3" t="s">
        <v>25</v>
      </c>
      <c r="AA161" s="3" t="s">
        <v>25</v>
      </c>
      <c r="AB161" s="3" t="str">
        <f>IF(crimenes_cordoba_ampliado[[#This Row],[Hubo Arresto]]="Sí", "Resuelto", "Pendiente")</f>
        <v>Pendiente</v>
      </c>
      <c r="AC161" s="3" t="s">
        <v>24</v>
      </c>
      <c r="AD161" s="3"/>
    </row>
    <row r="162" spans="1:30" x14ac:dyDescent="0.25">
      <c r="A162">
        <v>266</v>
      </c>
      <c r="B162" s="1">
        <v>42657</v>
      </c>
      <c r="C162" s="33">
        <f t="shared" si="4"/>
        <v>42657</v>
      </c>
      <c r="D162" s="34">
        <f t="shared" si="5"/>
        <v>42657</v>
      </c>
      <c r="E162" s="35" t="s">
        <v>1455</v>
      </c>
      <c r="F162" s="2">
        <v>0.32222222222222224</v>
      </c>
      <c r="G162" s="3" t="s">
        <v>27</v>
      </c>
      <c r="H162" s="3" t="s">
        <v>55</v>
      </c>
      <c r="I162" s="25" t="str">
        <f>VLOOKUP(H162,Tabla5[#All],4,FALSE)</f>
        <v>-31,4015892433235, -64,160442876477</v>
      </c>
      <c r="J162" s="1">
        <v>29496</v>
      </c>
      <c r="K162" s="7">
        <f>INT((crimenes_cordoba_ampliado[[#This Row],[Fecha]]-crimenes_cordoba_ampliado[[#This Row],[Fecha Nac. Delincuente]])/365)</f>
        <v>36</v>
      </c>
      <c r="L162" s="7" t="str">
        <f>_xlfn.XLOOKUP(crimenes_cordoba_ampliado[[#This Row],[EDAD DELINCUENTE]],'Rango etareo'!$A$10:$A$25,'Rango etareo'!$B$10:$B$25,,-1)</f>
        <v>36 - 45</v>
      </c>
      <c r="M162" s="3" t="s">
        <v>21</v>
      </c>
      <c r="N162" s="3" t="str">
        <f>IF(crimenes_cordoba_ampliado[[#This Row],[Género Delincuente]]="Femenino","🚺","🚹")</f>
        <v>🚺</v>
      </c>
      <c r="O162">
        <v>5</v>
      </c>
      <c r="P162" s="1">
        <v>21109</v>
      </c>
      <c r="Q162" s="7">
        <f>INT((crimenes_cordoba_ampliado[[#This Row],[Fecha]]-crimenes_cordoba_ampliado[[#This Row],[Fecha Nac. Víctima]])/365)</f>
        <v>59</v>
      </c>
      <c r="R162" s="7" t="str">
        <f>_xlfn.XLOOKUP(crimenes_cordoba_ampliado[[#This Row],[EDAD VICTIMA]],'Rango etareo'!$A$2:$A$25,'Rango etareo'!$B$2:$B$25,,-1)</f>
        <v>56 - 65</v>
      </c>
      <c r="S162" s="3" t="s">
        <v>21</v>
      </c>
      <c r="T162" s="3" t="str">
        <f>IF(crimenes_cordoba_ampliado[[#This Row],[Género Víctima]]="Masculino","🚹","🚺")</f>
        <v>🚺</v>
      </c>
      <c r="U162">
        <v>1</v>
      </c>
      <c r="V162" s="3" t="s">
        <v>25</v>
      </c>
      <c r="W162" s="3" t="s">
        <v>24</v>
      </c>
      <c r="X162" s="3" t="s">
        <v>24</v>
      </c>
      <c r="Y162" s="3" t="s">
        <v>24</v>
      </c>
      <c r="Z162" s="3" t="s">
        <v>25</v>
      </c>
      <c r="AA162" s="3" t="s">
        <v>23</v>
      </c>
      <c r="AB162" s="3" t="str">
        <f>IF(crimenes_cordoba_ampliado[[#This Row],[Hubo Arresto]]="Sí", "Resuelto", "Pendiente")</f>
        <v>Pendiente</v>
      </c>
      <c r="AC162" s="3" t="s">
        <v>24</v>
      </c>
      <c r="AD162" s="3"/>
    </row>
    <row r="163" spans="1:30" x14ac:dyDescent="0.25">
      <c r="A163">
        <v>189</v>
      </c>
      <c r="B163" s="1">
        <v>42665</v>
      </c>
      <c r="C163" s="33">
        <f t="shared" si="4"/>
        <v>42665</v>
      </c>
      <c r="D163" s="34">
        <f t="shared" si="5"/>
        <v>42665</v>
      </c>
      <c r="E163" s="35" t="s">
        <v>1451</v>
      </c>
      <c r="F163" s="2">
        <v>0.96388888888888891</v>
      </c>
      <c r="G163" s="3" t="s">
        <v>45</v>
      </c>
      <c r="H163" s="3" t="s">
        <v>70</v>
      </c>
      <c r="I163" s="25" t="str">
        <f>VLOOKUP(H163,Tabla5[#All],4,FALSE)</f>
        <v>-31,3759272890294, -64,2284587792478</v>
      </c>
      <c r="J163" s="1">
        <v>22330</v>
      </c>
      <c r="K163" s="7">
        <f>INT((crimenes_cordoba_ampliado[[#This Row],[Fecha]]-crimenes_cordoba_ampliado[[#This Row],[Fecha Nac. Delincuente]])/365)</f>
        <v>55</v>
      </c>
      <c r="L163" s="7" t="str">
        <f>_xlfn.XLOOKUP(crimenes_cordoba_ampliado[[#This Row],[EDAD DELINCUENTE]],'Rango etareo'!$A$10:$A$25,'Rango etareo'!$B$10:$B$25,,-1)</f>
        <v>46 - 55</v>
      </c>
      <c r="M163" s="3" t="s">
        <v>22</v>
      </c>
      <c r="N163" s="3" t="str">
        <f>IF(crimenes_cordoba_ampliado[[#This Row],[Género Delincuente]]="Femenino","🚺","🚹")</f>
        <v>🚹</v>
      </c>
      <c r="O163">
        <v>1</v>
      </c>
      <c r="P163" s="1">
        <v>18648</v>
      </c>
      <c r="Q163" s="7">
        <f>INT((crimenes_cordoba_ampliado[[#This Row],[Fecha]]-crimenes_cordoba_ampliado[[#This Row],[Fecha Nac. Víctima]])/365)</f>
        <v>65</v>
      </c>
      <c r="R163" s="7" t="str">
        <f>_xlfn.XLOOKUP(crimenes_cordoba_ampliado[[#This Row],[EDAD VICTIMA]],'Rango etareo'!$A$2:$A$25,'Rango etareo'!$B$2:$B$25,,-1)</f>
        <v>&gt;65</v>
      </c>
      <c r="S163" s="3" t="s">
        <v>21</v>
      </c>
      <c r="T163" s="3" t="str">
        <f>IF(crimenes_cordoba_ampliado[[#This Row],[Género Víctima]]="Masculino","🚹","🚺")</f>
        <v>🚺</v>
      </c>
      <c r="U163">
        <v>1</v>
      </c>
      <c r="V163" s="3" t="s">
        <v>25</v>
      </c>
      <c r="W163" s="3" t="s">
        <v>71</v>
      </c>
      <c r="X163" s="3" t="s">
        <v>24</v>
      </c>
      <c r="Y163" s="3" t="s">
        <v>77</v>
      </c>
      <c r="Z163" s="3" t="s">
        <v>25</v>
      </c>
      <c r="AA163" s="3" t="s">
        <v>25</v>
      </c>
      <c r="AB163" s="3" t="str">
        <f>IF(crimenes_cordoba_ampliado[[#This Row],[Hubo Arresto]]="Sí", "Resuelto", "Pendiente")</f>
        <v>Pendiente</v>
      </c>
      <c r="AC163" s="3" t="s">
        <v>24</v>
      </c>
      <c r="AD163" s="3"/>
    </row>
    <row r="164" spans="1:30" x14ac:dyDescent="0.25">
      <c r="A164">
        <v>153</v>
      </c>
      <c r="B164" s="1">
        <v>43956</v>
      </c>
      <c r="C164" s="33">
        <f t="shared" si="4"/>
        <v>43956</v>
      </c>
      <c r="D164" s="34">
        <f t="shared" si="5"/>
        <v>43956</v>
      </c>
      <c r="E164" s="35" t="s">
        <v>1453</v>
      </c>
      <c r="F164" s="2">
        <v>0.75624999999999998</v>
      </c>
      <c r="G164" s="3" t="s">
        <v>38</v>
      </c>
      <c r="H164" s="3" t="s">
        <v>62</v>
      </c>
      <c r="I164" s="25" t="str">
        <f>VLOOKUP(H164,Tabla5[#All],4,FALSE)</f>
        <v>-31,3909520937826, -64,1836424491715</v>
      </c>
      <c r="J164" s="1">
        <v>21662</v>
      </c>
      <c r="K164" s="7">
        <f>INT((crimenes_cordoba_ampliado[[#This Row],[Fecha]]-crimenes_cordoba_ampliado[[#This Row],[Fecha Nac. Delincuente]])/365)</f>
        <v>61</v>
      </c>
      <c r="L164" s="7" t="str">
        <f>_xlfn.XLOOKUP(crimenes_cordoba_ampliado[[#This Row],[EDAD DELINCUENTE]],'Rango etareo'!$A$10:$A$25,'Rango etareo'!$B$10:$B$25,,-1)</f>
        <v>56 - 65</v>
      </c>
      <c r="M164" s="3" t="s">
        <v>22</v>
      </c>
      <c r="N164" s="3" t="str">
        <f>IF(crimenes_cordoba_ampliado[[#This Row],[Género Delincuente]]="Femenino","🚺","🚹")</f>
        <v>🚹</v>
      </c>
      <c r="O164">
        <v>5</v>
      </c>
      <c r="P164" s="1">
        <v>25845</v>
      </c>
      <c r="Q164" s="7">
        <f>INT((crimenes_cordoba_ampliado[[#This Row],[Fecha]]-crimenes_cordoba_ampliado[[#This Row],[Fecha Nac. Víctima]])/365)</f>
        <v>49</v>
      </c>
      <c r="R164" s="7" t="str">
        <f>_xlfn.XLOOKUP(crimenes_cordoba_ampliado[[#This Row],[EDAD VICTIMA]],'Rango etareo'!$A$2:$A$25,'Rango etareo'!$B$2:$B$25,,-1)</f>
        <v>46 - 55</v>
      </c>
      <c r="S164" s="3" t="s">
        <v>22</v>
      </c>
      <c r="T164" s="3" t="str">
        <f>IF(crimenes_cordoba_ampliado[[#This Row],[Género Víctima]]="Masculino","🚹","🚺")</f>
        <v>🚹</v>
      </c>
      <c r="U164">
        <v>1</v>
      </c>
      <c r="V164" s="3" t="s">
        <v>23</v>
      </c>
      <c r="W164" s="3" t="s">
        <v>83</v>
      </c>
      <c r="X164" s="3" t="s">
        <v>29</v>
      </c>
      <c r="Y164" s="3" t="s">
        <v>24</v>
      </c>
      <c r="Z164" s="3" t="s">
        <v>23</v>
      </c>
      <c r="AA164" s="3" t="s">
        <v>25</v>
      </c>
      <c r="AB164" s="3" t="str">
        <f>IF(crimenes_cordoba_ampliado[[#This Row],[Hubo Arresto]]="Sí", "Resuelto", "Pendiente")</f>
        <v>Resuelto</v>
      </c>
      <c r="AC164" s="3" t="s">
        <v>120</v>
      </c>
      <c r="AD164" s="3"/>
    </row>
    <row r="165" spans="1:30" x14ac:dyDescent="0.25">
      <c r="A165">
        <v>156</v>
      </c>
      <c r="B165" s="1">
        <v>45244</v>
      </c>
      <c r="C165" s="33">
        <f t="shared" si="4"/>
        <v>45244</v>
      </c>
      <c r="D165" s="34">
        <f t="shared" si="5"/>
        <v>45244</v>
      </c>
      <c r="E165" s="35" t="s">
        <v>1453</v>
      </c>
      <c r="F165" s="2">
        <v>0.98888888888888893</v>
      </c>
      <c r="G165" s="3" t="s">
        <v>54</v>
      </c>
      <c r="H165" s="3" t="s">
        <v>62</v>
      </c>
      <c r="I165" s="25" t="str">
        <f>VLOOKUP(H165,Tabla5[#All],4,FALSE)</f>
        <v>-31,3909520937826, -64,1836424491715</v>
      </c>
      <c r="J165" s="1">
        <v>38536</v>
      </c>
      <c r="K165" s="7">
        <f>INT((crimenes_cordoba_ampliado[[#This Row],[Fecha]]-crimenes_cordoba_ampliado[[#This Row],[Fecha Nac. Delincuente]])/365)</f>
        <v>18</v>
      </c>
      <c r="L165" s="7" t="str">
        <f>_xlfn.XLOOKUP(crimenes_cordoba_ampliado[[#This Row],[EDAD DELINCUENTE]],'Rango etareo'!$A$10:$A$25,'Rango etareo'!$B$10:$B$25,,-1)</f>
        <v>18 - 25</v>
      </c>
      <c r="M165" s="3" t="s">
        <v>21</v>
      </c>
      <c r="N165" s="3" t="str">
        <f>IF(crimenes_cordoba_ampliado[[#This Row],[Género Delincuente]]="Femenino","🚺","🚹")</f>
        <v>🚺</v>
      </c>
      <c r="O165">
        <v>4</v>
      </c>
      <c r="P165" s="1">
        <v>31795</v>
      </c>
      <c r="Q165" s="7">
        <f>INT((crimenes_cordoba_ampliado[[#This Row],[Fecha]]-crimenes_cordoba_ampliado[[#This Row],[Fecha Nac. Víctima]])/365)</f>
        <v>36</v>
      </c>
      <c r="R165" s="7" t="str">
        <f>_xlfn.XLOOKUP(crimenes_cordoba_ampliado[[#This Row],[EDAD VICTIMA]],'Rango etareo'!$A$2:$A$25,'Rango etareo'!$B$2:$B$25,,-1)</f>
        <v>36 - 45</v>
      </c>
      <c r="S165" s="3" t="s">
        <v>21</v>
      </c>
      <c r="T165" s="3" t="str">
        <f>IF(crimenes_cordoba_ampliado[[#This Row],[Género Víctima]]="Masculino","🚹","🚺")</f>
        <v>🚺</v>
      </c>
      <c r="U165">
        <v>1</v>
      </c>
      <c r="V165" s="3" t="s">
        <v>23</v>
      </c>
      <c r="W165" s="3" t="s">
        <v>24</v>
      </c>
      <c r="X165" s="3" t="s">
        <v>24</v>
      </c>
      <c r="Y165" s="3" t="s">
        <v>98</v>
      </c>
      <c r="Z165" s="3" t="s">
        <v>25</v>
      </c>
      <c r="AA165" s="3" t="s">
        <v>25</v>
      </c>
      <c r="AB165" s="3" t="str">
        <f>IF(crimenes_cordoba_ampliado[[#This Row],[Hubo Arresto]]="Sí", "Resuelto", "Pendiente")</f>
        <v>Resuelto</v>
      </c>
      <c r="AC165" s="3" t="s">
        <v>73</v>
      </c>
      <c r="AD165" s="3"/>
    </row>
    <row r="166" spans="1:30" x14ac:dyDescent="0.25">
      <c r="A166">
        <v>157</v>
      </c>
      <c r="B166" s="1">
        <v>44873</v>
      </c>
      <c r="C166" s="33">
        <f t="shared" si="4"/>
        <v>44873</v>
      </c>
      <c r="D166" s="34">
        <f t="shared" si="5"/>
        <v>44873</v>
      </c>
      <c r="E166" s="35" t="s">
        <v>1453</v>
      </c>
      <c r="F166" s="2">
        <v>0.74444444444444446</v>
      </c>
      <c r="G166" s="3" t="s">
        <v>45</v>
      </c>
      <c r="H166" s="3" t="s">
        <v>62</v>
      </c>
      <c r="I166" s="25" t="str">
        <f>VLOOKUP(H166,Tabla5[#All],4,FALSE)</f>
        <v>-31,3909520937826, -64,1836424491715</v>
      </c>
      <c r="J166" s="1">
        <v>34471</v>
      </c>
      <c r="K166" s="7">
        <f>INT((crimenes_cordoba_ampliado[[#This Row],[Fecha]]-crimenes_cordoba_ampliado[[#This Row],[Fecha Nac. Delincuente]])/365)</f>
        <v>28</v>
      </c>
      <c r="L166" s="7" t="str">
        <f>_xlfn.XLOOKUP(crimenes_cordoba_ampliado[[#This Row],[EDAD DELINCUENTE]],'Rango etareo'!$A$10:$A$25,'Rango etareo'!$B$10:$B$25,,-1)</f>
        <v>26 - 35</v>
      </c>
      <c r="M166" s="3" t="s">
        <v>21</v>
      </c>
      <c r="N166" s="3" t="str">
        <f>IF(crimenes_cordoba_ampliado[[#This Row],[Género Delincuente]]="Femenino","🚺","🚹")</f>
        <v>🚺</v>
      </c>
      <c r="O166">
        <v>5</v>
      </c>
      <c r="P166" s="1">
        <v>31835</v>
      </c>
      <c r="Q166" s="7">
        <f>INT((crimenes_cordoba_ampliado[[#This Row],[Fecha]]-crimenes_cordoba_ampliado[[#This Row],[Fecha Nac. Víctima]])/365)</f>
        <v>35</v>
      </c>
      <c r="R166" s="7" t="str">
        <f>_xlfn.XLOOKUP(crimenes_cordoba_ampliado[[#This Row],[EDAD VICTIMA]],'Rango etareo'!$A$2:$A$25,'Rango etareo'!$B$2:$B$25,,-1)</f>
        <v>26 - 35</v>
      </c>
      <c r="S166" s="3" t="s">
        <v>22</v>
      </c>
      <c r="T166" s="3" t="str">
        <f>IF(crimenes_cordoba_ampliado[[#This Row],[Género Víctima]]="Masculino","🚹","🚺")</f>
        <v>🚹</v>
      </c>
      <c r="U166">
        <v>3</v>
      </c>
      <c r="V166" s="3" t="s">
        <v>23</v>
      </c>
      <c r="W166" s="3" t="s">
        <v>24</v>
      </c>
      <c r="X166" s="3" t="s">
        <v>24</v>
      </c>
      <c r="Y166" s="3" t="s">
        <v>53</v>
      </c>
      <c r="Z166" s="3" t="s">
        <v>25</v>
      </c>
      <c r="AA166" s="3" t="s">
        <v>25</v>
      </c>
      <c r="AB166" s="3" t="str">
        <f>IF(crimenes_cordoba_ampliado[[#This Row],[Hubo Arresto]]="Sí", "Resuelto", "Pendiente")</f>
        <v>Resuelto</v>
      </c>
      <c r="AC166" s="3" t="s">
        <v>149</v>
      </c>
      <c r="AD166" s="3"/>
    </row>
    <row r="167" spans="1:30" x14ac:dyDescent="0.25">
      <c r="A167">
        <v>102</v>
      </c>
      <c r="B167" s="1">
        <v>42700</v>
      </c>
      <c r="C167" s="33">
        <f t="shared" si="4"/>
        <v>42700</v>
      </c>
      <c r="D167" s="34">
        <f t="shared" si="5"/>
        <v>42700</v>
      </c>
      <c r="E167" s="35" t="s">
        <v>1451</v>
      </c>
      <c r="F167" s="2">
        <v>0.50694444444444442</v>
      </c>
      <c r="G167" s="3" t="s">
        <v>45</v>
      </c>
      <c r="H167" s="3" t="s">
        <v>40</v>
      </c>
      <c r="I167" s="25" t="str">
        <f>VLOOKUP(H167,Tabla5[#All],4,FALSE)</f>
        <v>-31,334500143441, -64,2460773260564</v>
      </c>
      <c r="J167" s="1">
        <v>28415</v>
      </c>
      <c r="K167" s="7">
        <f>INT((crimenes_cordoba_ampliado[[#This Row],[Fecha]]-crimenes_cordoba_ampliado[[#This Row],[Fecha Nac. Delincuente]])/365)</f>
        <v>39</v>
      </c>
      <c r="L167" s="7" t="str">
        <f>_xlfn.XLOOKUP(crimenes_cordoba_ampliado[[#This Row],[EDAD DELINCUENTE]],'Rango etareo'!$A$10:$A$25,'Rango etareo'!$B$10:$B$25,,-1)</f>
        <v>36 - 45</v>
      </c>
      <c r="M167" s="3" t="s">
        <v>22</v>
      </c>
      <c r="N167" s="3" t="str">
        <f>IF(crimenes_cordoba_ampliado[[#This Row],[Género Delincuente]]="Femenino","🚺","🚹")</f>
        <v>🚹</v>
      </c>
      <c r="O167">
        <v>4</v>
      </c>
      <c r="P167" s="1">
        <v>38923</v>
      </c>
      <c r="Q167" s="7">
        <f>INT((crimenes_cordoba_ampliado[[#This Row],[Fecha]]-crimenes_cordoba_ampliado[[#This Row],[Fecha Nac. Víctima]])/365)</f>
        <v>10</v>
      </c>
      <c r="R167" s="7" t="str">
        <f>_xlfn.XLOOKUP(crimenes_cordoba_ampliado[[#This Row],[EDAD VICTIMA]],'Rango etareo'!$A$2:$A$25,'Rango etareo'!$B$2:$B$25,,-1)</f>
        <v>&lt;=17</v>
      </c>
      <c r="S167" s="3" t="s">
        <v>21</v>
      </c>
      <c r="T167" s="3" t="str">
        <f>IF(crimenes_cordoba_ampliado[[#This Row],[Género Víctima]]="Masculino","🚹","🚺")</f>
        <v>🚺</v>
      </c>
      <c r="U167">
        <v>2</v>
      </c>
      <c r="V167" s="3" t="s">
        <v>25</v>
      </c>
      <c r="W167" s="3" t="s">
        <v>24</v>
      </c>
      <c r="X167" s="3" t="s">
        <v>24</v>
      </c>
      <c r="Y167" s="3" t="s">
        <v>56</v>
      </c>
      <c r="Z167" s="3" t="s">
        <v>23</v>
      </c>
      <c r="AA167" s="3" t="s">
        <v>25</v>
      </c>
      <c r="AB167" s="3" t="str">
        <f>IF(crimenes_cordoba_ampliado[[#This Row],[Hubo Arresto]]="Sí", "Resuelto", "Pendiente")</f>
        <v>Pendiente</v>
      </c>
      <c r="AC167" s="3" t="s">
        <v>24</v>
      </c>
      <c r="AD167" s="3"/>
    </row>
    <row r="168" spans="1:30" x14ac:dyDescent="0.25">
      <c r="A168">
        <v>159</v>
      </c>
      <c r="B168" s="1">
        <v>42098</v>
      </c>
      <c r="C168" s="33">
        <f t="shared" si="4"/>
        <v>42098</v>
      </c>
      <c r="D168" s="34">
        <f t="shared" si="5"/>
        <v>42098</v>
      </c>
      <c r="E168" s="35" t="s">
        <v>1451</v>
      </c>
      <c r="F168" s="2">
        <v>0.76875000000000004</v>
      </c>
      <c r="G168" s="3" t="s">
        <v>38</v>
      </c>
      <c r="H168" s="3" t="s">
        <v>65</v>
      </c>
      <c r="I168" s="25" t="str">
        <f>VLOOKUP(H168,Tabla5[#All],4,FALSE)</f>
        <v>-31,4285567311661, -64,1853198281007</v>
      </c>
      <c r="J168" s="1">
        <v>25196</v>
      </c>
      <c r="K168" s="7">
        <f>INT((crimenes_cordoba_ampliado[[#This Row],[Fecha]]-crimenes_cordoba_ampliado[[#This Row],[Fecha Nac. Delincuente]])/365)</f>
        <v>46</v>
      </c>
      <c r="L168" s="7" t="str">
        <f>_xlfn.XLOOKUP(crimenes_cordoba_ampliado[[#This Row],[EDAD DELINCUENTE]],'Rango etareo'!$A$10:$A$25,'Rango etareo'!$B$10:$B$25,,-1)</f>
        <v>46 - 55</v>
      </c>
      <c r="M168" s="3" t="s">
        <v>21</v>
      </c>
      <c r="N168" s="3" t="str">
        <f>IF(crimenes_cordoba_ampliado[[#This Row],[Género Delincuente]]="Femenino","🚺","🚹")</f>
        <v>🚺</v>
      </c>
      <c r="O168">
        <v>3</v>
      </c>
      <c r="P168" s="1">
        <v>22999</v>
      </c>
      <c r="Q168" s="7">
        <f>INT((crimenes_cordoba_ampliado[[#This Row],[Fecha]]-crimenes_cordoba_ampliado[[#This Row],[Fecha Nac. Víctima]])/365)</f>
        <v>52</v>
      </c>
      <c r="R168" s="7" t="str">
        <f>_xlfn.XLOOKUP(crimenes_cordoba_ampliado[[#This Row],[EDAD VICTIMA]],'Rango etareo'!$A$2:$A$25,'Rango etareo'!$B$2:$B$25,,-1)</f>
        <v>46 - 55</v>
      </c>
      <c r="S168" s="3" t="s">
        <v>21</v>
      </c>
      <c r="T168" s="3" t="str">
        <f>IF(crimenes_cordoba_ampliado[[#This Row],[Género Víctima]]="Masculino","🚹","🚺")</f>
        <v>🚺</v>
      </c>
      <c r="U168">
        <v>3</v>
      </c>
      <c r="V168" s="3" t="s">
        <v>23</v>
      </c>
      <c r="W168" s="3" t="s">
        <v>24</v>
      </c>
      <c r="X168" s="3" t="s">
        <v>24</v>
      </c>
      <c r="Y168" s="3" t="s">
        <v>46</v>
      </c>
      <c r="Z168" s="3" t="s">
        <v>25</v>
      </c>
      <c r="AA168" s="3" t="s">
        <v>25</v>
      </c>
      <c r="AB168" s="3" t="str">
        <f>IF(crimenes_cordoba_ampliado[[#This Row],[Hubo Arresto]]="Sí", "Resuelto", "Pendiente")</f>
        <v>Resuelto</v>
      </c>
      <c r="AC168" s="3" t="s">
        <v>76</v>
      </c>
      <c r="AD168" s="3"/>
    </row>
    <row r="169" spans="1:30" x14ac:dyDescent="0.25">
      <c r="A169">
        <v>827</v>
      </c>
      <c r="B169" s="1">
        <v>42709</v>
      </c>
      <c r="C169" s="33">
        <f t="shared" si="4"/>
        <v>42709</v>
      </c>
      <c r="D169" s="34">
        <f t="shared" si="5"/>
        <v>42709</v>
      </c>
      <c r="E169" s="35" t="s">
        <v>1452</v>
      </c>
      <c r="F169" s="2">
        <v>0.38333333333333336</v>
      </c>
      <c r="G169" s="3" t="s">
        <v>38</v>
      </c>
      <c r="H169" s="3" t="s">
        <v>49</v>
      </c>
      <c r="I169" s="25" t="str">
        <f>VLOOKUP(H169,Tabla5[#All],4,FALSE)</f>
        <v>-31,4506257494184, -64,1733054344705</v>
      </c>
      <c r="J169" s="1">
        <v>34395</v>
      </c>
      <c r="K169" s="7">
        <f>INT((crimenes_cordoba_ampliado[[#This Row],[Fecha]]-crimenes_cordoba_ampliado[[#This Row],[Fecha Nac. Delincuente]])/365)</f>
        <v>22</v>
      </c>
      <c r="L169" s="7" t="str">
        <f>_xlfn.XLOOKUP(crimenes_cordoba_ampliado[[#This Row],[EDAD DELINCUENTE]],'Rango etareo'!$A$10:$A$25,'Rango etareo'!$B$10:$B$25,,-1)</f>
        <v>18 - 25</v>
      </c>
      <c r="M169" s="3" t="s">
        <v>21</v>
      </c>
      <c r="N169" s="3" t="str">
        <f>IF(crimenes_cordoba_ampliado[[#This Row],[Género Delincuente]]="Femenino","🚺","🚹")</f>
        <v>🚺</v>
      </c>
      <c r="O169">
        <v>2</v>
      </c>
      <c r="P169" s="1">
        <v>39028</v>
      </c>
      <c r="Q169" s="7">
        <f>INT((crimenes_cordoba_ampliado[[#This Row],[Fecha]]-crimenes_cordoba_ampliado[[#This Row],[Fecha Nac. Víctima]])/365)</f>
        <v>10</v>
      </c>
      <c r="R169" s="7" t="str">
        <f>_xlfn.XLOOKUP(crimenes_cordoba_ampliado[[#This Row],[EDAD VICTIMA]],'Rango etareo'!$A$2:$A$25,'Rango etareo'!$B$2:$B$25,,-1)</f>
        <v>&lt;=17</v>
      </c>
      <c r="S169" s="3" t="s">
        <v>22</v>
      </c>
      <c r="T169" s="3" t="str">
        <f>IF(crimenes_cordoba_ampliado[[#This Row],[Género Víctima]]="Masculino","🚹","🚺")</f>
        <v>🚹</v>
      </c>
      <c r="U169">
        <v>1</v>
      </c>
      <c r="V169" s="3" t="s">
        <v>25</v>
      </c>
      <c r="W169" s="3" t="s">
        <v>24</v>
      </c>
      <c r="X169" s="3" t="s">
        <v>29</v>
      </c>
      <c r="Y169" s="3" t="s">
        <v>24</v>
      </c>
      <c r="Z169" s="3" t="s">
        <v>25</v>
      </c>
      <c r="AA169" s="3" t="s">
        <v>23</v>
      </c>
      <c r="AB169" s="3" t="str">
        <f>IF(crimenes_cordoba_ampliado[[#This Row],[Hubo Arresto]]="Sí", "Resuelto", "Pendiente")</f>
        <v>Pendiente</v>
      </c>
      <c r="AC169" s="3" t="s">
        <v>24</v>
      </c>
      <c r="AD169" s="3"/>
    </row>
    <row r="170" spans="1:30" x14ac:dyDescent="0.25">
      <c r="A170">
        <v>161</v>
      </c>
      <c r="B170" s="1">
        <v>42127</v>
      </c>
      <c r="C170" s="33">
        <f t="shared" si="4"/>
        <v>42127</v>
      </c>
      <c r="D170" s="34">
        <f t="shared" si="5"/>
        <v>42127</v>
      </c>
      <c r="E170" s="35" t="s">
        <v>1449</v>
      </c>
      <c r="F170" s="2">
        <v>0.94374999999999998</v>
      </c>
      <c r="G170" s="3" t="s">
        <v>81</v>
      </c>
      <c r="H170" s="3" t="s">
        <v>52</v>
      </c>
      <c r="I170" s="25" t="str">
        <f>VLOOKUP(H170,Tabla5[#All],4,FALSE)</f>
        <v>-31,3477902896523, -64,2644406169297</v>
      </c>
      <c r="J170" s="1">
        <v>32283</v>
      </c>
      <c r="K170" s="7">
        <f>INT((crimenes_cordoba_ampliado[[#This Row],[Fecha]]-crimenes_cordoba_ampliado[[#This Row],[Fecha Nac. Delincuente]])/365)</f>
        <v>26</v>
      </c>
      <c r="L170" s="7" t="str">
        <f>_xlfn.XLOOKUP(crimenes_cordoba_ampliado[[#This Row],[EDAD DELINCUENTE]],'Rango etareo'!$A$10:$A$25,'Rango etareo'!$B$10:$B$25,,-1)</f>
        <v>26 - 35</v>
      </c>
      <c r="M170" s="3" t="s">
        <v>22</v>
      </c>
      <c r="N170" s="3" t="str">
        <f>IF(crimenes_cordoba_ampliado[[#This Row],[Género Delincuente]]="Femenino","🚺","🚹")</f>
        <v>🚹</v>
      </c>
      <c r="O170">
        <v>1</v>
      </c>
      <c r="P170" s="1">
        <v>23715</v>
      </c>
      <c r="Q170" s="7">
        <f>INT((crimenes_cordoba_ampliado[[#This Row],[Fecha]]-crimenes_cordoba_ampliado[[#This Row],[Fecha Nac. Víctima]])/365)</f>
        <v>50</v>
      </c>
      <c r="R170" s="7" t="str">
        <f>_xlfn.XLOOKUP(crimenes_cordoba_ampliado[[#This Row],[EDAD VICTIMA]],'Rango etareo'!$A$2:$A$25,'Rango etareo'!$B$2:$B$25,,-1)</f>
        <v>46 - 55</v>
      </c>
      <c r="S170" s="3" t="s">
        <v>22</v>
      </c>
      <c r="T170" s="3" t="str">
        <f>IF(crimenes_cordoba_ampliado[[#This Row],[Género Víctima]]="Masculino","🚹","🚺")</f>
        <v>🚹</v>
      </c>
      <c r="U170">
        <v>1</v>
      </c>
      <c r="V170" s="3" t="s">
        <v>23</v>
      </c>
      <c r="W170" s="3" t="s">
        <v>83</v>
      </c>
      <c r="X170" s="3" t="s">
        <v>24</v>
      </c>
      <c r="Y170" s="3" t="s">
        <v>101</v>
      </c>
      <c r="Z170" s="3" t="s">
        <v>23</v>
      </c>
      <c r="AA170" s="3" t="s">
        <v>23</v>
      </c>
      <c r="AB170" s="3" t="str">
        <f>IF(crimenes_cordoba_ampliado[[#This Row],[Hubo Arresto]]="Sí", "Resuelto", "Pendiente")</f>
        <v>Resuelto</v>
      </c>
      <c r="AC170" s="3" t="s">
        <v>74</v>
      </c>
      <c r="AD170" s="3"/>
    </row>
    <row r="171" spans="1:30" x14ac:dyDescent="0.25">
      <c r="A171">
        <v>162</v>
      </c>
      <c r="B171" s="1">
        <v>43263</v>
      </c>
      <c r="C171" s="33">
        <f t="shared" si="4"/>
        <v>43263</v>
      </c>
      <c r="D171" s="34">
        <f t="shared" si="5"/>
        <v>43263</v>
      </c>
      <c r="E171" s="35" t="s">
        <v>1453</v>
      </c>
      <c r="F171" s="2">
        <v>0.45416666666666666</v>
      </c>
      <c r="G171" s="3" t="s">
        <v>38</v>
      </c>
      <c r="H171" s="3" t="s">
        <v>49</v>
      </c>
      <c r="I171" s="25" t="str">
        <f>VLOOKUP(H171,Tabla5[#All],4,FALSE)</f>
        <v>-31,4506257494184, -64,1733054344705</v>
      </c>
      <c r="J171" s="1">
        <v>19820</v>
      </c>
      <c r="K171" s="7">
        <f>INT((crimenes_cordoba_ampliado[[#This Row],[Fecha]]-crimenes_cordoba_ampliado[[#This Row],[Fecha Nac. Delincuente]])/365)</f>
        <v>64</v>
      </c>
      <c r="L171" s="7" t="str">
        <f>_xlfn.XLOOKUP(crimenes_cordoba_ampliado[[#This Row],[EDAD DELINCUENTE]],'Rango etareo'!$A$10:$A$25,'Rango etareo'!$B$10:$B$25,,-1)</f>
        <v>56 - 65</v>
      </c>
      <c r="M171" s="3" t="s">
        <v>22</v>
      </c>
      <c r="N171" s="3" t="str">
        <f>IF(crimenes_cordoba_ampliado[[#This Row],[Género Delincuente]]="Femenino","🚺","🚹")</f>
        <v>🚹</v>
      </c>
      <c r="O171">
        <v>2</v>
      </c>
      <c r="P171" s="1">
        <v>21707</v>
      </c>
      <c r="Q171" s="7">
        <f>INT((crimenes_cordoba_ampliado[[#This Row],[Fecha]]-crimenes_cordoba_ampliado[[#This Row],[Fecha Nac. Víctima]])/365)</f>
        <v>59</v>
      </c>
      <c r="R171" s="7" t="str">
        <f>_xlfn.XLOOKUP(crimenes_cordoba_ampliado[[#This Row],[EDAD VICTIMA]],'Rango etareo'!$A$2:$A$25,'Rango etareo'!$B$2:$B$25,,-1)</f>
        <v>56 - 65</v>
      </c>
      <c r="S171" s="3" t="s">
        <v>22</v>
      </c>
      <c r="T171" s="3" t="str">
        <f>IF(crimenes_cordoba_ampliado[[#This Row],[Género Víctima]]="Masculino","🚹","🚺")</f>
        <v>🚹</v>
      </c>
      <c r="U171">
        <v>3</v>
      </c>
      <c r="V171" s="3" t="s">
        <v>23</v>
      </c>
      <c r="W171" s="3" t="s">
        <v>24</v>
      </c>
      <c r="X171" s="3" t="s">
        <v>24</v>
      </c>
      <c r="Y171" s="3" t="s">
        <v>72</v>
      </c>
      <c r="Z171" s="3" t="s">
        <v>25</v>
      </c>
      <c r="AA171" s="3" t="s">
        <v>23</v>
      </c>
      <c r="AB171" s="3" t="str">
        <f>IF(crimenes_cordoba_ampliado[[#This Row],[Hubo Arresto]]="Sí", "Resuelto", "Pendiente")</f>
        <v>Resuelto</v>
      </c>
      <c r="AC171" s="3" t="s">
        <v>150</v>
      </c>
      <c r="AD171" s="3"/>
    </row>
    <row r="172" spans="1:30" x14ac:dyDescent="0.25">
      <c r="A172">
        <v>165</v>
      </c>
      <c r="B172" s="1">
        <v>45142</v>
      </c>
      <c r="C172" s="33">
        <f t="shared" si="4"/>
        <v>45142</v>
      </c>
      <c r="D172" s="34">
        <f t="shared" si="5"/>
        <v>45142</v>
      </c>
      <c r="E172" s="35" t="s">
        <v>1455</v>
      </c>
      <c r="F172" s="2">
        <v>0.4375</v>
      </c>
      <c r="G172" s="3" t="s">
        <v>51</v>
      </c>
      <c r="H172" s="3" t="s">
        <v>70</v>
      </c>
      <c r="I172" s="25" t="str">
        <f>VLOOKUP(H172,Tabla5[#All],4,FALSE)</f>
        <v>-31,3759272890294, -64,2284587792478</v>
      </c>
      <c r="J172" s="1">
        <v>32107</v>
      </c>
      <c r="K172" s="7">
        <f>INT((crimenes_cordoba_ampliado[[#This Row],[Fecha]]-crimenes_cordoba_ampliado[[#This Row],[Fecha Nac. Delincuente]])/365)</f>
        <v>35</v>
      </c>
      <c r="L172" s="7" t="str">
        <f>_xlfn.XLOOKUP(crimenes_cordoba_ampliado[[#This Row],[EDAD DELINCUENTE]],'Rango etareo'!$A$10:$A$25,'Rango etareo'!$B$10:$B$25,,-1)</f>
        <v>26 - 35</v>
      </c>
      <c r="M172" s="3" t="s">
        <v>21</v>
      </c>
      <c r="N172" s="3" t="str">
        <f>IF(crimenes_cordoba_ampliado[[#This Row],[Género Delincuente]]="Femenino","🚺","🚹")</f>
        <v>🚺</v>
      </c>
      <c r="O172">
        <v>1</v>
      </c>
      <c r="P172" s="1">
        <v>16399</v>
      </c>
      <c r="Q172" s="7">
        <f>INT((crimenes_cordoba_ampliado[[#This Row],[Fecha]]-crimenes_cordoba_ampliado[[#This Row],[Fecha Nac. Víctima]])/365)</f>
        <v>78</v>
      </c>
      <c r="R172" s="7" t="str">
        <f>_xlfn.XLOOKUP(crimenes_cordoba_ampliado[[#This Row],[EDAD VICTIMA]],'Rango etareo'!$A$2:$A$25,'Rango etareo'!$B$2:$B$25,,-1)</f>
        <v>&gt;65</v>
      </c>
      <c r="S172" s="3" t="s">
        <v>21</v>
      </c>
      <c r="T172" s="3" t="str">
        <f>IF(crimenes_cordoba_ampliado[[#This Row],[Género Víctima]]="Masculino","🚹","🚺")</f>
        <v>🚺</v>
      </c>
      <c r="U172">
        <v>3</v>
      </c>
      <c r="V172" s="3" t="s">
        <v>23</v>
      </c>
      <c r="W172" s="3" t="s">
        <v>24</v>
      </c>
      <c r="X172" s="3" t="s">
        <v>24</v>
      </c>
      <c r="Y172" s="3" t="s">
        <v>24</v>
      </c>
      <c r="Z172" s="3" t="s">
        <v>25</v>
      </c>
      <c r="AA172" s="3" t="s">
        <v>25</v>
      </c>
      <c r="AB172" s="3" t="str">
        <f>IF(crimenes_cordoba_ampliado[[#This Row],[Hubo Arresto]]="Sí", "Resuelto", "Pendiente")</f>
        <v>Resuelto</v>
      </c>
      <c r="AC172" s="3" t="s">
        <v>143</v>
      </c>
      <c r="AD172" s="3"/>
    </row>
    <row r="173" spans="1:30" x14ac:dyDescent="0.25">
      <c r="A173">
        <v>166</v>
      </c>
      <c r="B173" s="1">
        <v>45432</v>
      </c>
      <c r="C173" s="33">
        <f t="shared" si="4"/>
        <v>45432</v>
      </c>
      <c r="D173" s="34">
        <f t="shared" si="5"/>
        <v>45432</v>
      </c>
      <c r="E173" s="35" t="s">
        <v>1452</v>
      </c>
      <c r="F173" s="2">
        <v>0.45277777777777778</v>
      </c>
      <c r="G173" s="3" t="s">
        <v>51</v>
      </c>
      <c r="H173" s="3" t="s">
        <v>62</v>
      </c>
      <c r="I173" s="25" t="str">
        <f>VLOOKUP(H173,Tabla5[#All],4,FALSE)</f>
        <v>-31,3909520937826, -64,1836424491715</v>
      </c>
      <c r="J173" s="1">
        <v>23603</v>
      </c>
      <c r="K173" s="7">
        <f>INT((crimenes_cordoba_ampliado[[#This Row],[Fecha]]-crimenes_cordoba_ampliado[[#This Row],[Fecha Nac. Delincuente]])/365)</f>
        <v>59</v>
      </c>
      <c r="L173" s="7" t="str">
        <f>_xlfn.XLOOKUP(crimenes_cordoba_ampliado[[#This Row],[EDAD DELINCUENTE]],'Rango etareo'!$A$10:$A$25,'Rango etareo'!$B$10:$B$25,,-1)</f>
        <v>56 - 65</v>
      </c>
      <c r="M173" s="3" t="s">
        <v>21</v>
      </c>
      <c r="N173" s="3" t="str">
        <f>IF(crimenes_cordoba_ampliado[[#This Row],[Género Delincuente]]="Femenino","🚺","🚹")</f>
        <v>🚺</v>
      </c>
      <c r="O173">
        <v>4</v>
      </c>
      <c r="P173" s="1">
        <v>17922</v>
      </c>
      <c r="Q173" s="7">
        <f>INT((crimenes_cordoba_ampliado[[#This Row],[Fecha]]-crimenes_cordoba_ampliado[[#This Row],[Fecha Nac. Víctima]])/365)</f>
        <v>75</v>
      </c>
      <c r="R173" s="7" t="str">
        <f>_xlfn.XLOOKUP(crimenes_cordoba_ampliado[[#This Row],[EDAD VICTIMA]],'Rango etareo'!$A$2:$A$25,'Rango etareo'!$B$2:$B$25,,-1)</f>
        <v>&gt;65</v>
      </c>
      <c r="S173" s="3" t="s">
        <v>22</v>
      </c>
      <c r="T173" s="3" t="str">
        <f>IF(crimenes_cordoba_ampliado[[#This Row],[Género Víctima]]="Masculino","🚹","🚺")</f>
        <v>🚹</v>
      </c>
      <c r="U173">
        <v>3</v>
      </c>
      <c r="V173" s="3" t="s">
        <v>23</v>
      </c>
      <c r="W173" s="3" t="s">
        <v>24</v>
      </c>
      <c r="X173" s="3" t="s">
        <v>24</v>
      </c>
      <c r="Y173" s="3" t="s">
        <v>56</v>
      </c>
      <c r="Z173" s="3" t="s">
        <v>25</v>
      </c>
      <c r="AA173" s="3" t="s">
        <v>25</v>
      </c>
      <c r="AB173" s="3" t="str">
        <f>IF(crimenes_cordoba_ampliado[[#This Row],[Hubo Arresto]]="Sí", "Resuelto", "Pendiente")</f>
        <v>Resuelto</v>
      </c>
      <c r="AC173" s="3" t="s">
        <v>151</v>
      </c>
      <c r="AD173" s="3"/>
    </row>
    <row r="174" spans="1:30" x14ac:dyDescent="0.25">
      <c r="A174">
        <v>433</v>
      </c>
      <c r="B174" s="1">
        <v>42730</v>
      </c>
      <c r="C174" s="33">
        <f t="shared" si="4"/>
        <v>42730</v>
      </c>
      <c r="D174" s="34">
        <f t="shared" si="5"/>
        <v>42730</v>
      </c>
      <c r="E174" s="35" t="s">
        <v>1452</v>
      </c>
      <c r="F174" s="2">
        <v>0.44236111111111109</v>
      </c>
      <c r="G174" s="3" t="s">
        <v>51</v>
      </c>
      <c r="H174" s="3" t="s">
        <v>55</v>
      </c>
      <c r="I174" s="25" t="str">
        <f>VLOOKUP(H174,Tabla5[#All],4,FALSE)</f>
        <v>-31,4015892433235, -64,160442876477</v>
      </c>
      <c r="J174" s="1">
        <v>33338</v>
      </c>
      <c r="K174" s="7">
        <f>INT((crimenes_cordoba_ampliado[[#This Row],[Fecha]]-crimenes_cordoba_ampliado[[#This Row],[Fecha Nac. Delincuente]])/365)</f>
        <v>25</v>
      </c>
      <c r="L174" s="7" t="str">
        <f>_xlfn.XLOOKUP(crimenes_cordoba_ampliado[[#This Row],[EDAD DELINCUENTE]],'Rango etareo'!$A$10:$A$25,'Rango etareo'!$B$10:$B$25,,-1)</f>
        <v>18 - 25</v>
      </c>
      <c r="M174" s="3" t="s">
        <v>22</v>
      </c>
      <c r="N174" s="3" t="str">
        <f>IF(crimenes_cordoba_ampliado[[#This Row],[Género Delincuente]]="Femenino","🚺","🚹")</f>
        <v>🚹</v>
      </c>
      <c r="O174">
        <v>1</v>
      </c>
      <c r="P174" s="1">
        <v>27813</v>
      </c>
      <c r="Q174" s="7">
        <f>INT((crimenes_cordoba_ampliado[[#This Row],[Fecha]]-crimenes_cordoba_ampliado[[#This Row],[Fecha Nac. Víctima]])/365)</f>
        <v>40</v>
      </c>
      <c r="R174" s="7" t="str">
        <f>_xlfn.XLOOKUP(crimenes_cordoba_ampliado[[#This Row],[EDAD VICTIMA]],'Rango etareo'!$A$2:$A$25,'Rango etareo'!$B$2:$B$25,,-1)</f>
        <v>36 - 45</v>
      </c>
      <c r="S174" s="3" t="s">
        <v>21</v>
      </c>
      <c r="T174" s="3" t="str">
        <f>IF(crimenes_cordoba_ampliado[[#This Row],[Género Víctima]]="Masculino","🚹","🚺")</f>
        <v>🚺</v>
      </c>
      <c r="U174">
        <v>3</v>
      </c>
      <c r="V174" s="3" t="s">
        <v>25</v>
      </c>
      <c r="W174" s="3" t="s">
        <v>24</v>
      </c>
      <c r="X174" s="3" t="s">
        <v>24</v>
      </c>
      <c r="Y174" s="3" t="s">
        <v>89</v>
      </c>
      <c r="Z174" s="3" t="s">
        <v>23</v>
      </c>
      <c r="AA174" s="3" t="s">
        <v>23</v>
      </c>
      <c r="AB174" s="3" t="str">
        <f>IF(crimenes_cordoba_ampliado[[#This Row],[Hubo Arresto]]="Sí", "Resuelto", "Pendiente")</f>
        <v>Pendiente</v>
      </c>
      <c r="AC174" s="3" t="s">
        <v>24</v>
      </c>
      <c r="AD174" s="3"/>
    </row>
    <row r="175" spans="1:30" x14ac:dyDescent="0.25">
      <c r="A175">
        <v>418</v>
      </c>
      <c r="B175" s="1">
        <v>42731</v>
      </c>
      <c r="C175" s="33">
        <f t="shared" si="4"/>
        <v>42731</v>
      </c>
      <c r="D175" s="34">
        <f t="shared" si="5"/>
        <v>42731</v>
      </c>
      <c r="E175" s="35" t="s">
        <v>1453</v>
      </c>
      <c r="F175" s="2">
        <v>0.90486111111111112</v>
      </c>
      <c r="G175" s="3" t="s">
        <v>42</v>
      </c>
      <c r="H175" s="3" t="s">
        <v>62</v>
      </c>
      <c r="I175" s="25" t="str">
        <f>VLOOKUP(H175,Tabla5[#All],4,FALSE)</f>
        <v>-31,3909520937826, -64,1836424491715</v>
      </c>
      <c r="J175" s="1">
        <v>19551</v>
      </c>
      <c r="K175" s="7">
        <f>INT((crimenes_cordoba_ampliado[[#This Row],[Fecha]]-crimenes_cordoba_ampliado[[#This Row],[Fecha Nac. Delincuente]])/365)</f>
        <v>63</v>
      </c>
      <c r="L175" s="7" t="str">
        <f>_xlfn.XLOOKUP(crimenes_cordoba_ampliado[[#This Row],[EDAD DELINCUENTE]],'Rango etareo'!$A$10:$A$25,'Rango etareo'!$B$10:$B$25,,-1)</f>
        <v>56 - 65</v>
      </c>
      <c r="M175" s="3" t="s">
        <v>21</v>
      </c>
      <c r="N175" s="3" t="str">
        <f>IF(crimenes_cordoba_ampliado[[#This Row],[Género Delincuente]]="Femenino","🚺","🚹")</f>
        <v>🚺</v>
      </c>
      <c r="O175">
        <v>5</v>
      </c>
      <c r="P175" s="1">
        <v>22453</v>
      </c>
      <c r="Q175" s="7">
        <f>INT((crimenes_cordoba_ampliado[[#This Row],[Fecha]]-crimenes_cordoba_ampliado[[#This Row],[Fecha Nac. Víctima]])/365)</f>
        <v>55</v>
      </c>
      <c r="R175" s="7" t="str">
        <f>_xlfn.XLOOKUP(crimenes_cordoba_ampliado[[#This Row],[EDAD VICTIMA]],'Rango etareo'!$A$2:$A$25,'Rango etareo'!$B$2:$B$25,,-1)</f>
        <v>46 - 55</v>
      </c>
      <c r="S175" s="3" t="s">
        <v>21</v>
      </c>
      <c r="T175" s="3" t="str">
        <f>IF(crimenes_cordoba_ampliado[[#This Row],[Género Víctima]]="Masculino","🚹","🚺")</f>
        <v>🚺</v>
      </c>
      <c r="U175">
        <v>2</v>
      </c>
      <c r="V175" s="3" t="s">
        <v>25</v>
      </c>
      <c r="W175" s="3" t="s">
        <v>63</v>
      </c>
      <c r="X175" s="3" t="s">
        <v>24</v>
      </c>
      <c r="Y175" s="3" t="s">
        <v>101</v>
      </c>
      <c r="Z175" s="3" t="s">
        <v>25</v>
      </c>
      <c r="AA175" s="3" t="s">
        <v>23</v>
      </c>
      <c r="AB175" s="3" t="str">
        <f>IF(crimenes_cordoba_ampliado[[#This Row],[Hubo Arresto]]="Sí", "Resuelto", "Pendiente")</f>
        <v>Pendiente</v>
      </c>
      <c r="AC175" s="3" t="s">
        <v>24</v>
      </c>
      <c r="AD175" s="3"/>
    </row>
    <row r="176" spans="1:30" x14ac:dyDescent="0.25">
      <c r="A176">
        <v>167</v>
      </c>
      <c r="B176" s="1">
        <v>43488</v>
      </c>
      <c r="C176" s="33">
        <f t="shared" si="4"/>
        <v>43488</v>
      </c>
      <c r="D176" s="34">
        <f t="shared" si="5"/>
        <v>43488</v>
      </c>
      <c r="E176" s="35" t="s">
        <v>1450</v>
      </c>
      <c r="F176" s="2">
        <v>0.66736111111111107</v>
      </c>
      <c r="G176" s="3" t="s">
        <v>19</v>
      </c>
      <c r="H176" s="3" t="s">
        <v>55</v>
      </c>
      <c r="I176" s="25" t="str">
        <f>VLOOKUP(H176,Tabla5[#All],4,FALSE)</f>
        <v>-31,4015892433235, -64,160442876477</v>
      </c>
      <c r="J176" s="1">
        <v>28656</v>
      </c>
      <c r="K176" s="7">
        <f>INT((crimenes_cordoba_ampliado[[#This Row],[Fecha]]-crimenes_cordoba_ampliado[[#This Row],[Fecha Nac. Delincuente]])/365)</f>
        <v>40</v>
      </c>
      <c r="L176" s="7" t="str">
        <f>_xlfn.XLOOKUP(crimenes_cordoba_ampliado[[#This Row],[EDAD DELINCUENTE]],'Rango etareo'!$A$10:$A$25,'Rango etareo'!$B$10:$B$25,,-1)</f>
        <v>36 - 45</v>
      </c>
      <c r="M176" s="3" t="s">
        <v>22</v>
      </c>
      <c r="N176" s="3" t="str">
        <f>IF(crimenes_cordoba_ampliado[[#This Row],[Género Delincuente]]="Femenino","🚺","🚹")</f>
        <v>🚹</v>
      </c>
      <c r="O176">
        <v>3</v>
      </c>
      <c r="P176" s="1">
        <v>15469</v>
      </c>
      <c r="Q176" s="7">
        <f>INT((crimenes_cordoba_ampliado[[#This Row],[Fecha]]-crimenes_cordoba_ampliado[[#This Row],[Fecha Nac. Víctima]])/365)</f>
        <v>76</v>
      </c>
      <c r="R176" s="7" t="str">
        <f>_xlfn.XLOOKUP(crimenes_cordoba_ampliado[[#This Row],[EDAD VICTIMA]],'Rango etareo'!$A$2:$A$25,'Rango etareo'!$B$2:$B$25,,-1)</f>
        <v>&gt;65</v>
      </c>
      <c r="S176" s="3" t="s">
        <v>22</v>
      </c>
      <c r="T176" s="3" t="str">
        <f>IF(crimenes_cordoba_ampliado[[#This Row],[Género Víctima]]="Masculino","🚹","🚺")</f>
        <v>🚹</v>
      </c>
      <c r="U176">
        <v>2</v>
      </c>
      <c r="V176" s="3" t="s">
        <v>23</v>
      </c>
      <c r="W176" s="3" t="s">
        <v>24</v>
      </c>
      <c r="X176" s="3" t="s">
        <v>24</v>
      </c>
      <c r="Y176" s="3" t="s">
        <v>53</v>
      </c>
      <c r="Z176" s="3" t="s">
        <v>25</v>
      </c>
      <c r="AA176" s="3" t="s">
        <v>25</v>
      </c>
      <c r="AB176" s="3" t="str">
        <f>IF(crimenes_cordoba_ampliado[[#This Row],[Hubo Arresto]]="Sí", "Resuelto", "Pendiente")</f>
        <v>Resuelto</v>
      </c>
      <c r="AC176" s="3" t="s">
        <v>152</v>
      </c>
      <c r="AD176" s="3"/>
    </row>
    <row r="177" spans="1:30" x14ac:dyDescent="0.25">
      <c r="A177">
        <v>171</v>
      </c>
      <c r="B177" s="1">
        <v>42875</v>
      </c>
      <c r="C177" s="33">
        <f t="shared" si="4"/>
        <v>42875</v>
      </c>
      <c r="D177" s="34">
        <f t="shared" si="5"/>
        <v>42875</v>
      </c>
      <c r="E177" s="35" t="s">
        <v>1451</v>
      </c>
      <c r="F177" s="2">
        <v>0.53402777777777777</v>
      </c>
      <c r="G177" s="3" t="s">
        <v>35</v>
      </c>
      <c r="H177" s="3" t="s">
        <v>20</v>
      </c>
      <c r="I177" s="25" t="str">
        <f>VLOOKUP(H177,Tabla5[#All],4,FALSE)</f>
        <v>-31,4800162965848, -64,2094200976892</v>
      </c>
      <c r="J177" s="1">
        <v>23478</v>
      </c>
      <c r="K177" s="7">
        <f>INT((crimenes_cordoba_ampliado[[#This Row],[Fecha]]-crimenes_cordoba_ampliado[[#This Row],[Fecha Nac. Delincuente]])/365)</f>
        <v>53</v>
      </c>
      <c r="L177" s="7" t="str">
        <f>_xlfn.XLOOKUP(crimenes_cordoba_ampliado[[#This Row],[EDAD DELINCUENTE]],'Rango etareo'!$A$10:$A$25,'Rango etareo'!$B$10:$B$25,,-1)</f>
        <v>46 - 55</v>
      </c>
      <c r="M177" s="3" t="s">
        <v>22</v>
      </c>
      <c r="N177" s="3" t="str">
        <f>IF(crimenes_cordoba_ampliado[[#This Row],[Género Delincuente]]="Femenino","🚺","🚹")</f>
        <v>🚹</v>
      </c>
      <c r="O177">
        <v>5</v>
      </c>
      <c r="P177" s="1">
        <v>34440</v>
      </c>
      <c r="Q177" s="7">
        <f>INT((crimenes_cordoba_ampliado[[#This Row],[Fecha]]-crimenes_cordoba_ampliado[[#This Row],[Fecha Nac. Víctima]])/365)</f>
        <v>23</v>
      </c>
      <c r="R177" s="7" t="str">
        <f>_xlfn.XLOOKUP(crimenes_cordoba_ampliado[[#This Row],[EDAD VICTIMA]],'Rango etareo'!$A$2:$A$25,'Rango etareo'!$B$2:$B$25,,-1)</f>
        <v>18 - 25</v>
      </c>
      <c r="S177" s="3" t="s">
        <v>22</v>
      </c>
      <c r="T177" s="3" t="str">
        <f>IF(crimenes_cordoba_ampliado[[#This Row],[Género Víctima]]="Masculino","🚹","🚺")</f>
        <v>🚹</v>
      </c>
      <c r="U177">
        <v>3</v>
      </c>
      <c r="V177" s="3" t="s">
        <v>23</v>
      </c>
      <c r="W177" s="3" t="s">
        <v>24</v>
      </c>
      <c r="X177" s="3" t="s">
        <v>67</v>
      </c>
      <c r="Y177" s="3" t="s">
        <v>24</v>
      </c>
      <c r="Z177" s="3" t="s">
        <v>23</v>
      </c>
      <c r="AA177" s="3" t="s">
        <v>25</v>
      </c>
      <c r="AB177" s="3" t="str">
        <f>IF(crimenes_cordoba_ampliado[[#This Row],[Hubo Arresto]]="Sí", "Resuelto", "Pendiente")</f>
        <v>Resuelto</v>
      </c>
      <c r="AC177" s="3" t="s">
        <v>153</v>
      </c>
      <c r="AD177" s="3"/>
    </row>
    <row r="178" spans="1:30" x14ac:dyDescent="0.25">
      <c r="A178">
        <v>149</v>
      </c>
      <c r="B178" s="1">
        <v>42737</v>
      </c>
      <c r="C178" s="33">
        <f t="shared" si="4"/>
        <v>42737</v>
      </c>
      <c r="D178" s="34">
        <f t="shared" si="5"/>
        <v>42737</v>
      </c>
      <c r="E178" s="35" t="s">
        <v>1452</v>
      </c>
      <c r="F178" s="2">
        <v>0.71736111111111112</v>
      </c>
      <c r="G178" s="3" t="s">
        <v>54</v>
      </c>
      <c r="H178" s="3" t="s">
        <v>20</v>
      </c>
      <c r="I178" s="25" t="str">
        <f>VLOOKUP(H178,Tabla5[#All],4,FALSE)</f>
        <v>-31,4800162965848, -64,2094200976892</v>
      </c>
      <c r="J178" s="1">
        <v>31008</v>
      </c>
      <c r="K178" s="7">
        <f>INT((crimenes_cordoba_ampliado[[#This Row],[Fecha]]-crimenes_cordoba_ampliado[[#This Row],[Fecha Nac. Delincuente]])/365)</f>
        <v>32</v>
      </c>
      <c r="L178" s="7" t="str">
        <f>_xlfn.XLOOKUP(crimenes_cordoba_ampliado[[#This Row],[EDAD DELINCUENTE]],'Rango etareo'!$A$10:$A$25,'Rango etareo'!$B$10:$B$25,,-1)</f>
        <v>26 - 35</v>
      </c>
      <c r="M178" s="3" t="s">
        <v>21</v>
      </c>
      <c r="N178" s="3" t="str">
        <f>IF(crimenes_cordoba_ampliado[[#This Row],[Género Delincuente]]="Femenino","🚺","🚹")</f>
        <v>🚺</v>
      </c>
      <c r="O178">
        <v>4</v>
      </c>
      <c r="P178" s="1">
        <v>15273</v>
      </c>
      <c r="Q178" s="7">
        <f>INT((crimenes_cordoba_ampliado[[#This Row],[Fecha]]-crimenes_cordoba_ampliado[[#This Row],[Fecha Nac. Víctima]])/365)</f>
        <v>75</v>
      </c>
      <c r="R178" s="7" t="str">
        <f>_xlfn.XLOOKUP(crimenes_cordoba_ampliado[[#This Row],[EDAD VICTIMA]],'Rango etareo'!$A$2:$A$25,'Rango etareo'!$B$2:$B$25,,-1)</f>
        <v>&gt;65</v>
      </c>
      <c r="S178" s="3" t="s">
        <v>22</v>
      </c>
      <c r="T178" s="3" t="str">
        <f>IF(crimenes_cordoba_ampliado[[#This Row],[Género Víctima]]="Masculino","🚹","🚺")</f>
        <v>🚹</v>
      </c>
      <c r="U178">
        <v>2</v>
      </c>
      <c r="V178" s="3" t="s">
        <v>25</v>
      </c>
      <c r="W178" s="3" t="s">
        <v>24</v>
      </c>
      <c r="X178" s="3" t="s">
        <v>24</v>
      </c>
      <c r="Y178" s="3" t="s">
        <v>43</v>
      </c>
      <c r="Z178" s="3" t="s">
        <v>25</v>
      </c>
      <c r="AA178" s="3" t="s">
        <v>25</v>
      </c>
      <c r="AB178" s="3" t="str">
        <f>IF(crimenes_cordoba_ampliado[[#This Row],[Hubo Arresto]]="Sí", "Resuelto", "Pendiente")</f>
        <v>Pendiente</v>
      </c>
      <c r="AC178" s="3" t="s">
        <v>24</v>
      </c>
      <c r="AD178" s="3"/>
    </row>
    <row r="179" spans="1:30" x14ac:dyDescent="0.25">
      <c r="A179">
        <v>172</v>
      </c>
      <c r="B179" s="1">
        <v>43646</v>
      </c>
      <c r="C179" s="33">
        <f t="shared" si="4"/>
        <v>43646</v>
      </c>
      <c r="D179" s="34">
        <f t="shared" si="5"/>
        <v>43646</v>
      </c>
      <c r="E179" s="35" t="s">
        <v>1449</v>
      </c>
      <c r="F179" s="2">
        <v>0.19236111111111112</v>
      </c>
      <c r="G179" s="3" t="s">
        <v>45</v>
      </c>
      <c r="H179" s="3" t="s">
        <v>60</v>
      </c>
      <c r="I179" s="25" t="str">
        <f>VLOOKUP(H179,Tabla5[#All],4,FALSE)</f>
        <v>-31,4076397196409, -64,2020170430678</v>
      </c>
      <c r="J179" s="1">
        <v>26279</v>
      </c>
      <c r="K179" s="7">
        <f>INT((crimenes_cordoba_ampliado[[#This Row],[Fecha]]-crimenes_cordoba_ampliado[[#This Row],[Fecha Nac. Delincuente]])/365)</f>
        <v>47</v>
      </c>
      <c r="L179" s="7" t="str">
        <f>_xlfn.XLOOKUP(crimenes_cordoba_ampliado[[#This Row],[EDAD DELINCUENTE]],'Rango etareo'!$A$10:$A$25,'Rango etareo'!$B$10:$B$25,,-1)</f>
        <v>46 - 55</v>
      </c>
      <c r="M179" s="3" t="s">
        <v>22</v>
      </c>
      <c r="N179" s="3" t="str">
        <f>IF(crimenes_cordoba_ampliado[[#This Row],[Género Delincuente]]="Femenino","🚺","🚹")</f>
        <v>🚹</v>
      </c>
      <c r="O179">
        <v>2</v>
      </c>
      <c r="P179" s="1">
        <v>30543</v>
      </c>
      <c r="Q179" s="7">
        <f>INT((crimenes_cordoba_ampliado[[#This Row],[Fecha]]-crimenes_cordoba_ampliado[[#This Row],[Fecha Nac. Víctima]])/365)</f>
        <v>35</v>
      </c>
      <c r="R179" s="7" t="str">
        <f>_xlfn.XLOOKUP(crimenes_cordoba_ampliado[[#This Row],[EDAD VICTIMA]],'Rango etareo'!$A$2:$A$25,'Rango etareo'!$B$2:$B$25,,-1)</f>
        <v>26 - 35</v>
      </c>
      <c r="S179" s="3" t="s">
        <v>21</v>
      </c>
      <c r="T179" s="3" t="str">
        <f>IF(crimenes_cordoba_ampliado[[#This Row],[Género Víctima]]="Masculino","🚹","🚺")</f>
        <v>🚺</v>
      </c>
      <c r="U179">
        <v>2</v>
      </c>
      <c r="V179" s="3" t="s">
        <v>23</v>
      </c>
      <c r="W179" s="3" t="s">
        <v>24</v>
      </c>
      <c r="X179" s="3" t="s">
        <v>24</v>
      </c>
      <c r="Y179" s="3" t="s">
        <v>53</v>
      </c>
      <c r="Z179" s="3" t="s">
        <v>25</v>
      </c>
      <c r="AA179" s="3" t="s">
        <v>25</v>
      </c>
      <c r="AB179" s="3" t="str">
        <f>IF(crimenes_cordoba_ampliado[[#This Row],[Hubo Arresto]]="Sí", "Resuelto", "Pendiente")</f>
        <v>Resuelto</v>
      </c>
      <c r="AC179" s="3" t="s">
        <v>154</v>
      </c>
      <c r="AD179" s="3"/>
    </row>
    <row r="180" spans="1:30" x14ac:dyDescent="0.25">
      <c r="A180">
        <v>174</v>
      </c>
      <c r="B180" s="1">
        <v>45441</v>
      </c>
      <c r="C180" s="33">
        <f t="shared" si="4"/>
        <v>45441</v>
      </c>
      <c r="D180" s="34">
        <f t="shared" si="5"/>
        <v>45441</v>
      </c>
      <c r="E180" s="35" t="s">
        <v>1450</v>
      </c>
      <c r="F180" s="2">
        <v>0.65555555555555556</v>
      </c>
      <c r="G180" s="3" t="s">
        <v>35</v>
      </c>
      <c r="H180" s="3" t="s">
        <v>49</v>
      </c>
      <c r="I180" s="25" t="str">
        <f>VLOOKUP(H180,Tabla5[#All],4,FALSE)</f>
        <v>-31,4506257494184, -64,1733054344705</v>
      </c>
      <c r="J180" s="1">
        <v>37230</v>
      </c>
      <c r="K180" s="7">
        <f>INT((crimenes_cordoba_ampliado[[#This Row],[Fecha]]-crimenes_cordoba_ampliado[[#This Row],[Fecha Nac. Delincuente]])/365)</f>
        <v>22</v>
      </c>
      <c r="L180" s="7" t="str">
        <f>_xlfn.XLOOKUP(crimenes_cordoba_ampliado[[#This Row],[EDAD DELINCUENTE]],'Rango etareo'!$A$10:$A$25,'Rango etareo'!$B$10:$B$25,,-1)</f>
        <v>18 - 25</v>
      </c>
      <c r="M180" s="3" t="s">
        <v>22</v>
      </c>
      <c r="N180" s="3" t="str">
        <f>IF(crimenes_cordoba_ampliado[[#This Row],[Género Delincuente]]="Femenino","🚺","🚹")</f>
        <v>🚹</v>
      </c>
      <c r="O180">
        <v>4</v>
      </c>
      <c r="P180" s="1">
        <v>27722</v>
      </c>
      <c r="Q180" s="7">
        <f>INT((crimenes_cordoba_ampliado[[#This Row],[Fecha]]-crimenes_cordoba_ampliado[[#This Row],[Fecha Nac. Víctima]])/365)</f>
        <v>48</v>
      </c>
      <c r="R180" s="7" t="str">
        <f>_xlfn.XLOOKUP(crimenes_cordoba_ampliado[[#This Row],[EDAD VICTIMA]],'Rango etareo'!$A$2:$A$25,'Rango etareo'!$B$2:$B$25,,-1)</f>
        <v>46 - 55</v>
      </c>
      <c r="S180" s="3" t="s">
        <v>21</v>
      </c>
      <c r="T180" s="3" t="str">
        <f>IF(crimenes_cordoba_ampliado[[#This Row],[Género Víctima]]="Masculino","🚹","🚺")</f>
        <v>🚺</v>
      </c>
      <c r="U180">
        <v>1</v>
      </c>
      <c r="V180" s="3" t="s">
        <v>23</v>
      </c>
      <c r="W180" s="3" t="s">
        <v>24</v>
      </c>
      <c r="X180" s="3" t="s">
        <v>24</v>
      </c>
      <c r="Y180" s="3" t="s">
        <v>72</v>
      </c>
      <c r="Z180" s="3" t="s">
        <v>25</v>
      </c>
      <c r="AA180" s="3" t="s">
        <v>25</v>
      </c>
      <c r="AB180" s="3" t="str">
        <f>IF(crimenes_cordoba_ampliado[[#This Row],[Hubo Arresto]]="Sí", "Resuelto", "Pendiente")</f>
        <v>Resuelto</v>
      </c>
      <c r="AC180" s="3" t="s">
        <v>155</v>
      </c>
      <c r="AD180" s="3"/>
    </row>
    <row r="181" spans="1:30" x14ac:dyDescent="0.25">
      <c r="A181">
        <v>987</v>
      </c>
      <c r="B181" s="1">
        <v>42740</v>
      </c>
      <c r="C181" s="33">
        <f t="shared" si="4"/>
        <v>42740</v>
      </c>
      <c r="D181" s="34">
        <f t="shared" si="5"/>
        <v>42740</v>
      </c>
      <c r="E181" s="35" t="s">
        <v>1454</v>
      </c>
      <c r="F181" s="2">
        <v>0.85624999999999996</v>
      </c>
      <c r="G181" s="3" t="s">
        <v>79</v>
      </c>
      <c r="H181" s="3" t="s">
        <v>62</v>
      </c>
      <c r="I181" s="25" t="str">
        <f>VLOOKUP(H181,Tabla5[#All],4,FALSE)</f>
        <v>-31,3909520937826, -64,1836424491715</v>
      </c>
      <c r="J181" s="1">
        <v>24264</v>
      </c>
      <c r="K181" s="7">
        <f>INT((crimenes_cordoba_ampliado[[#This Row],[Fecha]]-crimenes_cordoba_ampliado[[#This Row],[Fecha Nac. Delincuente]])/365)</f>
        <v>50</v>
      </c>
      <c r="L181" s="7" t="str">
        <f>_xlfn.XLOOKUP(crimenes_cordoba_ampliado[[#This Row],[EDAD DELINCUENTE]],'Rango etareo'!$A$10:$A$25,'Rango etareo'!$B$10:$B$25,,-1)</f>
        <v>46 - 55</v>
      </c>
      <c r="M181" s="3" t="s">
        <v>22</v>
      </c>
      <c r="N181" s="3" t="str">
        <f>IF(crimenes_cordoba_ampliado[[#This Row],[Género Delincuente]]="Femenino","🚺","🚹")</f>
        <v>🚹</v>
      </c>
      <c r="O181">
        <v>5</v>
      </c>
      <c r="P181" s="1">
        <v>19374</v>
      </c>
      <c r="Q181" s="7">
        <f>INT((crimenes_cordoba_ampliado[[#This Row],[Fecha]]-crimenes_cordoba_ampliado[[#This Row],[Fecha Nac. Víctima]])/365)</f>
        <v>64</v>
      </c>
      <c r="R181" s="7" t="str">
        <f>_xlfn.XLOOKUP(crimenes_cordoba_ampliado[[#This Row],[EDAD VICTIMA]],'Rango etareo'!$A$2:$A$25,'Rango etareo'!$B$2:$B$25,,-1)</f>
        <v>56 - 65</v>
      </c>
      <c r="S181" s="3" t="s">
        <v>22</v>
      </c>
      <c r="T181" s="3" t="str">
        <f>IF(crimenes_cordoba_ampliado[[#This Row],[Género Víctima]]="Masculino","🚹","🚺")</f>
        <v>🚹</v>
      </c>
      <c r="U181">
        <v>3</v>
      </c>
      <c r="V181" s="3" t="s">
        <v>25</v>
      </c>
      <c r="W181" s="3" t="s">
        <v>24</v>
      </c>
      <c r="X181" s="3" t="s">
        <v>24</v>
      </c>
      <c r="Y181" s="3" t="s">
        <v>33</v>
      </c>
      <c r="Z181" s="3" t="s">
        <v>25</v>
      </c>
      <c r="AA181" s="3" t="s">
        <v>23</v>
      </c>
      <c r="AB181" s="3" t="str">
        <f>IF(crimenes_cordoba_ampliado[[#This Row],[Hubo Arresto]]="Sí", "Resuelto", "Pendiente")</f>
        <v>Pendiente</v>
      </c>
      <c r="AC181" s="3" t="s">
        <v>24</v>
      </c>
      <c r="AD181" s="3"/>
    </row>
    <row r="182" spans="1:30" x14ac:dyDescent="0.25">
      <c r="A182">
        <v>721</v>
      </c>
      <c r="B182" s="1">
        <v>42742</v>
      </c>
      <c r="C182" s="33">
        <f t="shared" si="4"/>
        <v>42742</v>
      </c>
      <c r="D182" s="34">
        <f t="shared" si="5"/>
        <v>42742</v>
      </c>
      <c r="E182" s="35" t="s">
        <v>1451</v>
      </c>
      <c r="F182" s="2">
        <v>0.81805555555555554</v>
      </c>
      <c r="G182" s="3" t="s">
        <v>31</v>
      </c>
      <c r="H182" s="3" t="s">
        <v>55</v>
      </c>
      <c r="I182" s="25" t="str">
        <f>VLOOKUP(H182,Tabla5[#All],4,FALSE)</f>
        <v>-31,4015892433235, -64,160442876477</v>
      </c>
      <c r="J182" s="1">
        <v>20678</v>
      </c>
      <c r="K182" s="7">
        <f>INT((crimenes_cordoba_ampliado[[#This Row],[Fecha]]-crimenes_cordoba_ampliado[[#This Row],[Fecha Nac. Delincuente]])/365)</f>
        <v>60</v>
      </c>
      <c r="L182" s="7" t="str">
        <f>_xlfn.XLOOKUP(crimenes_cordoba_ampliado[[#This Row],[EDAD DELINCUENTE]],'Rango etareo'!$A$10:$A$25,'Rango etareo'!$B$10:$B$25,,-1)</f>
        <v>56 - 65</v>
      </c>
      <c r="M182" s="3" t="s">
        <v>22</v>
      </c>
      <c r="N182" s="3" t="str">
        <f>IF(crimenes_cordoba_ampliado[[#This Row],[Género Delincuente]]="Femenino","🚺","🚹")</f>
        <v>🚹</v>
      </c>
      <c r="O182">
        <v>2</v>
      </c>
      <c r="P182" s="1">
        <v>40425</v>
      </c>
      <c r="Q182" s="7">
        <f>INT((crimenes_cordoba_ampliado[[#This Row],[Fecha]]-crimenes_cordoba_ampliado[[#This Row],[Fecha Nac. Víctima]])/365)</f>
        <v>6</v>
      </c>
      <c r="R182" s="7" t="str">
        <f>_xlfn.XLOOKUP(crimenes_cordoba_ampliado[[#This Row],[EDAD VICTIMA]],'Rango etareo'!$A$2:$A$25,'Rango etareo'!$B$2:$B$25,,-1)</f>
        <v>&lt;=17</v>
      </c>
      <c r="S182" s="3" t="s">
        <v>22</v>
      </c>
      <c r="T182" s="3" t="str">
        <f>IF(crimenes_cordoba_ampliado[[#This Row],[Género Víctima]]="Masculino","🚹","🚺")</f>
        <v>🚹</v>
      </c>
      <c r="U182">
        <v>2</v>
      </c>
      <c r="V182" s="3" t="s">
        <v>25</v>
      </c>
      <c r="W182" s="3" t="s">
        <v>36</v>
      </c>
      <c r="X182" s="3" t="s">
        <v>24</v>
      </c>
      <c r="Y182" s="3" t="s">
        <v>77</v>
      </c>
      <c r="Z182" s="3" t="s">
        <v>25</v>
      </c>
      <c r="AA182" s="3" t="s">
        <v>25</v>
      </c>
      <c r="AB182" s="3" t="str">
        <f>IF(crimenes_cordoba_ampliado[[#This Row],[Hubo Arresto]]="Sí", "Resuelto", "Pendiente")</f>
        <v>Pendiente</v>
      </c>
      <c r="AC182" s="3" t="s">
        <v>24</v>
      </c>
      <c r="AD182" s="3"/>
    </row>
    <row r="183" spans="1:30" x14ac:dyDescent="0.25">
      <c r="A183">
        <v>175</v>
      </c>
      <c r="B183" s="1">
        <v>45435</v>
      </c>
      <c r="C183" s="33">
        <f t="shared" si="4"/>
        <v>45435</v>
      </c>
      <c r="D183" s="34">
        <f t="shared" si="5"/>
        <v>45435</v>
      </c>
      <c r="E183" s="35" t="s">
        <v>1454</v>
      </c>
      <c r="F183" s="2">
        <v>0.82361111111111107</v>
      </c>
      <c r="G183" s="3" t="s">
        <v>79</v>
      </c>
      <c r="H183" s="3" t="s">
        <v>52</v>
      </c>
      <c r="I183" s="25" t="str">
        <f>VLOOKUP(H183,Tabla5[#All],4,FALSE)</f>
        <v>-31,3477902896523, -64,2644406169297</v>
      </c>
      <c r="J183" s="1">
        <v>32617</v>
      </c>
      <c r="K183" s="7">
        <f>INT((crimenes_cordoba_ampliado[[#This Row],[Fecha]]-crimenes_cordoba_ampliado[[#This Row],[Fecha Nac. Delincuente]])/365)</f>
        <v>35</v>
      </c>
      <c r="L183" s="7" t="str">
        <f>_xlfn.XLOOKUP(crimenes_cordoba_ampliado[[#This Row],[EDAD DELINCUENTE]],'Rango etareo'!$A$10:$A$25,'Rango etareo'!$B$10:$B$25,,-1)</f>
        <v>26 - 35</v>
      </c>
      <c r="M183" s="3" t="s">
        <v>22</v>
      </c>
      <c r="N183" s="3" t="str">
        <f>IF(crimenes_cordoba_ampliado[[#This Row],[Género Delincuente]]="Femenino","🚺","🚹")</f>
        <v>🚹</v>
      </c>
      <c r="O183">
        <v>5</v>
      </c>
      <c r="P183" s="1">
        <v>27598</v>
      </c>
      <c r="Q183" s="7">
        <f>INT((crimenes_cordoba_ampliado[[#This Row],[Fecha]]-crimenes_cordoba_ampliado[[#This Row],[Fecha Nac. Víctima]])/365)</f>
        <v>48</v>
      </c>
      <c r="R183" s="7" t="str">
        <f>_xlfn.XLOOKUP(crimenes_cordoba_ampliado[[#This Row],[EDAD VICTIMA]],'Rango etareo'!$A$2:$A$25,'Rango etareo'!$B$2:$B$25,,-1)</f>
        <v>46 - 55</v>
      </c>
      <c r="S183" s="3" t="s">
        <v>21</v>
      </c>
      <c r="T183" s="3" t="str">
        <f>IF(crimenes_cordoba_ampliado[[#This Row],[Género Víctima]]="Masculino","🚹","🚺")</f>
        <v>🚺</v>
      </c>
      <c r="U183">
        <v>1</v>
      </c>
      <c r="V183" s="3" t="s">
        <v>23</v>
      </c>
      <c r="W183" s="3" t="s">
        <v>24</v>
      </c>
      <c r="X183" s="3" t="s">
        <v>24</v>
      </c>
      <c r="Y183" s="3" t="s">
        <v>80</v>
      </c>
      <c r="Z183" s="3" t="s">
        <v>25</v>
      </c>
      <c r="AA183" s="3" t="s">
        <v>25</v>
      </c>
      <c r="AB183" s="3" t="str">
        <f>IF(crimenes_cordoba_ampliado[[#This Row],[Hubo Arresto]]="Sí", "Resuelto", "Pendiente")</f>
        <v>Resuelto</v>
      </c>
      <c r="AC183" s="3" t="s">
        <v>109</v>
      </c>
      <c r="AD183" s="3"/>
    </row>
    <row r="184" spans="1:30" x14ac:dyDescent="0.25">
      <c r="A184">
        <v>331</v>
      </c>
      <c r="B184" s="1">
        <v>42760</v>
      </c>
      <c r="C184" s="33">
        <f t="shared" si="4"/>
        <v>42760</v>
      </c>
      <c r="D184" s="34">
        <f t="shared" si="5"/>
        <v>42760</v>
      </c>
      <c r="E184" s="35" t="s">
        <v>1450</v>
      </c>
      <c r="F184" s="2">
        <v>0.92152777777777772</v>
      </c>
      <c r="G184" s="3" t="s">
        <v>45</v>
      </c>
      <c r="H184" s="3" t="s">
        <v>52</v>
      </c>
      <c r="I184" s="25" t="str">
        <f>VLOOKUP(H184,Tabla5[#All],4,FALSE)</f>
        <v>-31,3477902896523, -64,2644406169297</v>
      </c>
      <c r="J184" s="1">
        <v>21557</v>
      </c>
      <c r="K184" s="7">
        <f>INT((crimenes_cordoba_ampliado[[#This Row],[Fecha]]-crimenes_cordoba_ampliado[[#This Row],[Fecha Nac. Delincuente]])/365)</f>
        <v>58</v>
      </c>
      <c r="L184" s="7" t="str">
        <f>_xlfn.XLOOKUP(crimenes_cordoba_ampliado[[#This Row],[EDAD DELINCUENTE]],'Rango etareo'!$A$10:$A$25,'Rango etareo'!$B$10:$B$25,,-1)</f>
        <v>56 - 65</v>
      </c>
      <c r="M184" s="3" t="s">
        <v>21</v>
      </c>
      <c r="N184" s="3" t="str">
        <f>IF(crimenes_cordoba_ampliado[[#This Row],[Género Delincuente]]="Femenino","🚺","🚹")</f>
        <v>🚺</v>
      </c>
      <c r="O184">
        <v>3</v>
      </c>
      <c r="P184" s="1">
        <v>39775</v>
      </c>
      <c r="Q184" s="7">
        <f>INT((crimenes_cordoba_ampliado[[#This Row],[Fecha]]-crimenes_cordoba_ampliado[[#This Row],[Fecha Nac. Víctima]])/365)</f>
        <v>8</v>
      </c>
      <c r="R184" s="7" t="str">
        <f>_xlfn.XLOOKUP(crimenes_cordoba_ampliado[[#This Row],[EDAD VICTIMA]],'Rango etareo'!$A$2:$A$25,'Rango etareo'!$B$2:$B$25,,-1)</f>
        <v>&lt;=17</v>
      </c>
      <c r="S184" s="3" t="s">
        <v>22</v>
      </c>
      <c r="T184" s="3" t="str">
        <f>IF(crimenes_cordoba_ampliado[[#This Row],[Género Víctima]]="Masculino","🚹","🚺")</f>
        <v>🚹</v>
      </c>
      <c r="U184">
        <v>1</v>
      </c>
      <c r="V184" s="3" t="s">
        <v>25</v>
      </c>
      <c r="W184" s="3" t="s">
        <v>24</v>
      </c>
      <c r="X184" s="3" t="s">
        <v>24</v>
      </c>
      <c r="Y184" s="3" t="s">
        <v>98</v>
      </c>
      <c r="Z184" s="3" t="s">
        <v>25</v>
      </c>
      <c r="AA184" s="3" t="s">
        <v>23</v>
      </c>
      <c r="AB184" s="3" t="str">
        <f>IF(crimenes_cordoba_ampliado[[#This Row],[Hubo Arresto]]="Sí", "Resuelto", "Pendiente")</f>
        <v>Pendiente</v>
      </c>
      <c r="AC184" s="3" t="s">
        <v>24</v>
      </c>
      <c r="AD184" s="3"/>
    </row>
    <row r="185" spans="1:30" x14ac:dyDescent="0.25">
      <c r="A185">
        <v>176</v>
      </c>
      <c r="B185" s="1">
        <v>44030</v>
      </c>
      <c r="C185" s="33">
        <f t="shared" si="4"/>
        <v>44030</v>
      </c>
      <c r="D185" s="34">
        <f t="shared" si="5"/>
        <v>44030</v>
      </c>
      <c r="E185" s="35" t="s">
        <v>1451</v>
      </c>
      <c r="F185" s="2">
        <v>0.64027777777777772</v>
      </c>
      <c r="G185" s="3" t="s">
        <v>51</v>
      </c>
      <c r="H185" s="3" t="s">
        <v>70</v>
      </c>
      <c r="I185" s="25" t="str">
        <f>VLOOKUP(H185,Tabla5[#All],4,FALSE)</f>
        <v>-31,3759272890294, -64,2284587792478</v>
      </c>
      <c r="J185" s="1">
        <v>27389</v>
      </c>
      <c r="K185" s="7">
        <f>INT((crimenes_cordoba_ampliado[[#This Row],[Fecha]]-crimenes_cordoba_ampliado[[#This Row],[Fecha Nac. Delincuente]])/365)</f>
        <v>45</v>
      </c>
      <c r="L185" s="7" t="str">
        <f>_xlfn.XLOOKUP(crimenes_cordoba_ampliado[[#This Row],[EDAD DELINCUENTE]],'Rango etareo'!$A$10:$A$25,'Rango etareo'!$B$10:$B$25,,-1)</f>
        <v>36 - 45</v>
      </c>
      <c r="M185" s="3" t="s">
        <v>22</v>
      </c>
      <c r="N185" s="3" t="str">
        <f>IF(crimenes_cordoba_ampliado[[#This Row],[Género Delincuente]]="Femenino","🚺","🚹")</f>
        <v>🚹</v>
      </c>
      <c r="O185">
        <v>1</v>
      </c>
      <c r="P185" s="1">
        <v>23331</v>
      </c>
      <c r="Q185" s="7">
        <f>INT((crimenes_cordoba_ampliado[[#This Row],[Fecha]]-crimenes_cordoba_ampliado[[#This Row],[Fecha Nac. Víctima]])/365)</f>
        <v>56</v>
      </c>
      <c r="R185" s="7" t="str">
        <f>_xlfn.XLOOKUP(crimenes_cordoba_ampliado[[#This Row],[EDAD VICTIMA]],'Rango etareo'!$A$2:$A$25,'Rango etareo'!$B$2:$B$25,,-1)</f>
        <v>56 - 65</v>
      </c>
      <c r="S185" s="3" t="s">
        <v>22</v>
      </c>
      <c r="T185" s="3" t="str">
        <f>IF(crimenes_cordoba_ampliado[[#This Row],[Género Víctima]]="Masculino","🚹","🚺")</f>
        <v>🚹</v>
      </c>
      <c r="U185">
        <v>3</v>
      </c>
      <c r="V185" s="3" t="s">
        <v>23</v>
      </c>
      <c r="W185" s="3" t="s">
        <v>24</v>
      </c>
      <c r="X185" s="3" t="s">
        <v>24</v>
      </c>
      <c r="Y185" s="3" t="s">
        <v>89</v>
      </c>
      <c r="Z185" s="3" t="s">
        <v>25</v>
      </c>
      <c r="AA185" s="3" t="s">
        <v>25</v>
      </c>
      <c r="AB185" s="3" t="str">
        <f>IF(crimenes_cordoba_ampliado[[#This Row],[Hubo Arresto]]="Sí", "Resuelto", "Pendiente")</f>
        <v>Resuelto</v>
      </c>
      <c r="AC185" s="3" t="s">
        <v>156</v>
      </c>
      <c r="AD185" s="3"/>
    </row>
    <row r="186" spans="1:30" x14ac:dyDescent="0.25">
      <c r="A186">
        <v>178</v>
      </c>
      <c r="B186" s="1">
        <v>43343</v>
      </c>
      <c r="C186" s="33">
        <f t="shared" si="4"/>
        <v>43343</v>
      </c>
      <c r="D186" s="34">
        <f t="shared" si="5"/>
        <v>43343</v>
      </c>
      <c r="E186" s="35" t="s">
        <v>1455</v>
      </c>
      <c r="F186" s="2">
        <v>0.97430555555555554</v>
      </c>
      <c r="G186" s="3" t="s">
        <v>54</v>
      </c>
      <c r="H186" s="3" t="s">
        <v>62</v>
      </c>
      <c r="I186" s="25" t="str">
        <f>VLOOKUP(H186,Tabla5[#All],4,FALSE)</f>
        <v>-31,3909520937826, -64,1836424491715</v>
      </c>
      <c r="J186" s="1">
        <v>32738</v>
      </c>
      <c r="K186" s="7">
        <f>INT((crimenes_cordoba_ampliado[[#This Row],[Fecha]]-crimenes_cordoba_ampliado[[#This Row],[Fecha Nac. Delincuente]])/365)</f>
        <v>29</v>
      </c>
      <c r="L186" s="7" t="str">
        <f>_xlfn.XLOOKUP(crimenes_cordoba_ampliado[[#This Row],[EDAD DELINCUENTE]],'Rango etareo'!$A$10:$A$25,'Rango etareo'!$B$10:$B$25,,-1)</f>
        <v>26 - 35</v>
      </c>
      <c r="M186" s="3" t="s">
        <v>21</v>
      </c>
      <c r="N186" s="3" t="str">
        <f>IF(crimenes_cordoba_ampliado[[#This Row],[Género Delincuente]]="Femenino","🚺","🚹")</f>
        <v>🚺</v>
      </c>
      <c r="O186">
        <v>1</v>
      </c>
      <c r="P186" s="1">
        <v>20511</v>
      </c>
      <c r="Q186" s="7">
        <f>INT((crimenes_cordoba_ampliado[[#This Row],[Fecha]]-crimenes_cordoba_ampliado[[#This Row],[Fecha Nac. Víctima]])/365)</f>
        <v>62</v>
      </c>
      <c r="R186" s="7" t="str">
        <f>_xlfn.XLOOKUP(crimenes_cordoba_ampliado[[#This Row],[EDAD VICTIMA]],'Rango etareo'!$A$2:$A$25,'Rango etareo'!$B$2:$B$25,,-1)</f>
        <v>56 - 65</v>
      </c>
      <c r="S186" s="3" t="s">
        <v>22</v>
      </c>
      <c r="T186" s="3" t="str">
        <f>IF(crimenes_cordoba_ampliado[[#This Row],[Género Víctima]]="Masculino","🚹","🚺")</f>
        <v>🚹</v>
      </c>
      <c r="U186">
        <v>3</v>
      </c>
      <c r="V186" s="3" t="s">
        <v>23</v>
      </c>
      <c r="W186" s="3" t="s">
        <v>24</v>
      </c>
      <c r="X186" s="3" t="s">
        <v>24</v>
      </c>
      <c r="Y186" s="3" t="s">
        <v>53</v>
      </c>
      <c r="Z186" s="3" t="s">
        <v>23</v>
      </c>
      <c r="AA186" s="3" t="s">
        <v>25</v>
      </c>
      <c r="AB186" s="3" t="str">
        <f>IF(crimenes_cordoba_ampliado[[#This Row],[Hubo Arresto]]="Sí", "Resuelto", "Pendiente")</f>
        <v>Resuelto</v>
      </c>
      <c r="AC186" s="3" t="s">
        <v>137</v>
      </c>
      <c r="AD186" s="3"/>
    </row>
    <row r="187" spans="1:30" x14ac:dyDescent="0.25">
      <c r="A187">
        <v>873</v>
      </c>
      <c r="B187" s="1">
        <v>42780</v>
      </c>
      <c r="C187" s="33">
        <f t="shared" si="4"/>
        <v>42780</v>
      </c>
      <c r="D187" s="34">
        <f t="shared" si="5"/>
        <v>42780</v>
      </c>
      <c r="E187" s="35" t="s">
        <v>1453</v>
      </c>
      <c r="F187" s="2">
        <v>0.86597222222222225</v>
      </c>
      <c r="G187" s="3" t="s">
        <v>35</v>
      </c>
      <c r="H187" s="3" t="s">
        <v>40</v>
      </c>
      <c r="I187" s="25" t="str">
        <f>VLOOKUP(H187,Tabla5[#All],4,FALSE)</f>
        <v>-31,334500143441, -64,2460773260564</v>
      </c>
      <c r="J187" s="1">
        <v>34968</v>
      </c>
      <c r="K187" s="7">
        <f>INT((crimenes_cordoba_ampliado[[#This Row],[Fecha]]-crimenes_cordoba_ampliado[[#This Row],[Fecha Nac. Delincuente]])/365)</f>
        <v>21</v>
      </c>
      <c r="L187" s="7" t="str">
        <f>_xlfn.XLOOKUP(crimenes_cordoba_ampliado[[#This Row],[EDAD DELINCUENTE]],'Rango etareo'!$A$10:$A$25,'Rango etareo'!$B$10:$B$25,,-1)</f>
        <v>18 - 25</v>
      </c>
      <c r="M187" s="3" t="s">
        <v>21</v>
      </c>
      <c r="N187" s="3" t="str">
        <f>IF(crimenes_cordoba_ampliado[[#This Row],[Género Delincuente]]="Femenino","🚺","🚹")</f>
        <v>🚺</v>
      </c>
      <c r="O187">
        <v>5</v>
      </c>
      <c r="P187" s="1">
        <v>37820</v>
      </c>
      <c r="Q187" s="7">
        <f>INT((crimenes_cordoba_ampliado[[#This Row],[Fecha]]-crimenes_cordoba_ampliado[[#This Row],[Fecha Nac. Víctima]])/365)</f>
        <v>13</v>
      </c>
      <c r="R187" s="7" t="str">
        <f>_xlfn.XLOOKUP(crimenes_cordoba_ampliado[[#This Row],[EDAD VICTIMA]],'Rango etareo'!$A$2:$A$25,'Rango etareo'!$B$2:$B$25,,-1)</f>
        <v>&lt;=17</v>
      </c>
      <c r="S187" s="3" t="s">
        <v>21</v>
      </c>
      <c r="T187" s="3" t="str">
        <f>IF(crimenes_cordoba_ampliado[[#This Row],[Género Víctima]]="Masculino","🚹","🚺")</f>
        <v>🚺</v>
      </c>
      <c r="U187">
        <v>2</v>
      </c>
      <c r="V187" s="3" t="s">
        <v>25</v>
      </c>
      <c r="W187" s="3" t="s">
        <v>24</v>
      </c>
      <c r="X187" s="3" t="s">
        <v>24</v>
      </c>
      <c r="Y187" s="3" t="s">
        <v>24</v>
      </c>
      <c r="Z187" s="3" t="s">
        <v>25</v>
      </c>
      <c r="AA187" s="3" t="s">
        <v>25</v>
      </c>
      <c r="AB187" s="3" t="str">
        <f>IF(crimenes_cordoba_ampliado[[#This Row],[Hubo Arresto]]="Sí", "Resuelto", "Pendiente")</f>
        <v>Pendiente</v>
      </c>
      <c r="AC187" s="3" t="s">
        <v>24</v>
      </c>
      <c r="AD187" s="3"/>
    </row>
    <row r="188" spans="1:30" x14ac:dyDescent="0.25">
      <c r="A188">
        <v>641</v>
      </c>
      <c r="B188" s="1">
        <v>42782</v>
      </c>
      <c r="C188" s="33">
        <f t="shared" si="4"/>
        <v>42782</v>
      </c>
      <c r="D188" s="34">
        <f t="shared" si="5"/>
        <v>42782</v>
      </c>
      <c r="E188" s="35" t="s">
        <v>1454</v>
      </c>
      <c r="F188" s="2">
        <v>0.15277777777777779</v>
      </c>
      <c r="G188" s="3" t="s">
        <v>27</v>
      </c>
      <c r="H188" s="3" t="s">
        <v>49</v>
      </c>
      <c r="I188" s="25" t="str">
        <f>VLOOKUP(H188,Tabla5[#All],4,FALSE)</f>
        <v>-31,4506257494184, -64,1733054344705</v>
      </c>
      <c r="J188" s="1">
        <v>21694</v>
      </c>
      <c r="K188" s="7">
        <f>INT((crimenes_cordoba_ampliado[[#This Row],[Fecha]]-crimenes_cordoba_ampliado[[#This Row],[Fecha Nac. Delincuente]])/365)</f>
        <v>57</v>
      </c>
      <c r="L188" s="7" t="str">
        <f>_xlfn.XLOOKUP(crimenes_cordoba_ampliado[[#This Row],[EDAD DELINCUENTE]],'Rango etareo'!$A$10:$A$25,'Rango etareo'!$B$10:$B$25,,-1)</f>
        <v>56 - 65</v>
      </c>
      <c r="M188" s="3" t="s">
        <v>21</v>
      </c>
      <c r="N188" s="3" t="str">
        <f>IF(crimenes_cordoba_ampliado[[#This Row],[Género Delincuente]]="Femenino","🚺","🚹")</f>
        <v>🚺</v>
      </c>
      <c r="O188">
        <v>2</v>
      </c>
      <c r="P188" s="1">
        <v>38766</v>
      </c>
      <c r="Q188" s="7">
        <f>INT((crimenes_cordoba_ampliado[[#This Row],[Fecha]]-crimenes_cordoba_ampliado[[#This Row],[Fecha Nac. Víctima]])/365)</f>
        <v>11</v>
      </c>
      <c r="R188" s="7" t="str">
        <f>_xlfn.XLOOKUP(crimenes_cordoba_ampliado[[#This Row],[EDAD VICTIMA]],'Rango etareo'!$A$2:$A$25,'Rango etareo'!$B$2:$B$25,,-1)</f>
        <v>&lt;=17</v>
      </c>
      <c r="S188" s="3" t="s">
        <v>21</v>
      </c>
      <c r="T188" s="3" t="str">
        <f>IF(crimenes_cordoba_ampliado[[#This Row],[Género Víctima]]="Masculino","🚹","🚺")</f>
        <v>🚺</v>
      </c>
      <c r="U188">
        <v>2</v>
      </c>
      <c r="V188" s="3" t="s">
        <v>25</v>
      </c>
      <c r="W188" s="3" t="s">
        <v>24</v>
      </c>
      <c r="X188" s="3" t="s">
        <v>41</v>
      </c>
      <c r="Y188" s="3" t="s">
        <v>24</v>
      </c>
      <c r="Z188" s="3" t="s">
        <v>25</v>
      </c>
      <c r="AA188" s="3" t="s">
        <v>25</v>
      </c>
      <c r="AB188" s="3" t="str">
        <f>IF(crimenes_cordoba_ampliado[[#This Row],[Hubo Arresto]]="Sí", "Resuelto", "Pendiente")</f>
        <v>Pendiente</v>
      </c>
      <c r="AC188" s="3" t="s">
        <v>24</v>
      </c>
      <c r="AD188" s="3"/>
    </row>
    <row r="189" spans="1:30" x14ac:dyDescent="0.25">
      <c r="A189">
        <v>530</v>
      </c>
      <c r="B189" s="1">
        <v>42783</v>
      </c>
      <c r="C189" s="33">
        <f t="shared" si="4"/>
        <v>42783</v>
      </c>
      <c r="D189" s="34">
        <f t="shared" si="5"/>
        <v>42783</v>
      </c>
      <c r="E189" s="35" t="s">
        <v>1455</v>
      </c>
      <c r="F189" s="2">
        <v>0.38263888888888886</v>
      </c>
      <c r="G189" s="3" t="s">
        <v>51</v>
      </c>
      <c r="H189" s="3" t="s">
        <v>49</v>
      </c>
      <c r="I189" s="25" t="str">
        <f>VLOOKUP(H189,Tabla5[#All],4,FALSE)</f>
        <v>-31,4506257494184, -64,1733054344705</v>
      </c>
      <c r="J189" s="1">
        <v>35870</v>
      </c>
      <c r="K189" s="7">
        <f>INT((crimenes_cordoba_ampliado[[#This Row],[Fecha]]-crimenes_cordoba_ampliado[[#This Row],[Fecha Nac. Delincuente]])/365)</f>
        <v>18</v>
      </c>
      <c r="L189" s="7" t="str">
        <f>_xlfn.XLOOKUP(crimenes_cordoba_ampliado[[#This Row],[EDAD DELINCUENTE]],'Rango etareo'!$A$10:$A$25,'Rango etareo'!$B$10:$B$25,,-1)</f>
        <v>18 - 25</v>
      </c>
      <c r="M189" s="3" t="s">
        <v>21</v>
      </c>
      <c r="N189" s="3" t="str">
        <f>IF(crimenes_cordoba_ampliado[[#This Row],[Género Delincuente]]="Femenino","🚺","🚹")</f>
        <v>🚺</v>
      </c>
      <c r="O189">
        <v>3</v>
      </c>
      <c r="P189" s="1">
        <v>29031</v>
      </c>
      <c r="Q189" s="7">
        <f>INT((crimenes_cordoba_ampliado[[#This Row],[Fecha]]-crimenes_cordoba_ampliado[[#This Row],[Fecha Nac. Víctima]])/365)</f>
        <v>37</v>
      </c>
      <c r="R189" s="7" t="str">
        <f>_xlfn.XLOOKUP(crimenes_cordoba_ampliado[[#This Row],[EDAD VICTIMA]],'Rango etareo'!$A$2:$A$25,'Rango etareo'!$B$2:$B$25,,-1)</f>
        <v>36 - 45</v>
      </c>
      <c r="S189" s="3" t="s">
        <v>22</v>
      </c>
      <c r="T189" s="3" t="str">
        <f>IF(crimenes_cordoba_ampliado[[#This Row],[Género Víctima]]="Masculino","🚹","🚺")</f>
        <v>🚹</v>
      </c>
      <c r="U189">
        <v>1</v>
      </c>
      <c r="V189" s="3" t="s">
        <v>25</v>
      </c>
      <c r="W189" s="3" t="s">
        <v>24</v>
      </c>
      <c r="X189" s="3" t="s">
        <v>24</v>
      </c>
      <c r="Y189" s="3" t="s">
        <v>56</v>
      </c>
      <c r="Z189" s="3" t="s">
        <v>23</v>
      </c>
      <c r="AA189" s="3" t="s">
        <v>23</v>
      </c>
      <c r="AB189" s="3" t="str">
        <f>IF(crimenes_cordoba_ampliado[[#This Row],[Hubo Arresto]]="Sí", "Resuelto", "Pendiente")</f>
        <v>Pendiente</v>
      </c>
      <c r="AC189" s="3" t="s">
        <v>24</v>
      </c>
      <c r="AD189" s="3"/>
    </row>
    <row r="190" spans="1:30" x14ac:dyDescent="0.25">
      <c r="A190">
        <v>391</v>
      </c>
      <c r="B190" s="1">
        <v>42791</v>
      </c>
      <c r="C190" s="33">
        <f t="shared" si="4"/>
        <v>42791</v>
      </c>
      <c r="D190" s="34">
        <f t="shared" si="5"/>
        <v>42791</v>
      </c>
      <c r="E190" s="35" t="s">
        <v>1451</v>
      </c>
      <c r="F190" s="2">
        <v>0.79236111111111107</v>
      </c>
      <c r="G190" s="3" t="s">
        <v>81</v>
      </c>
      <c r="H190" s="3" t="s">
        <v>32</v>
      </c>
      <c r="I190" s="25" t="str">
        <f>VLOOKUP(H190,Tabla5[#All],4,FALSE)</f>
        <v>-31,4148488101991, -64,1793406489438</v>
      </c>
      <c r="J190" s="1">
        <v>27946</v>
      </c>
      <c r="K190" s="7">
        <f>INT((crimenes_cordoba_ampliado[[#This Row],[Fecha]]-crimenes_cordoba_ampliado[[#This Row],[Fecha Nac. Delincuente]])/365)</f>
        <v>40</v>
      </c>
      <c r="L190" s="7" t="str">
        <f>_xlfn.XLOOKUP(crimenes_cordoba_ampliado[[#This Row],[EDAD DELINCUENTE]],'Rango etareo'!$A$10:$A$25,'Rango etareo'!$B$10:$B$25,,-1)</f>
        <v>36 - 45</v>
      </c>
      <c r="M190" s="3" t="s">
        <v>22</v>
      </c>
      <c r="N190" s="3" t="str">
        <f>IF(crimenes_cordoba_ampliado[[#This Row],[Género Delincuente]]="Femenino","🚺","🚹")</f>
        <v>🚹</v>
      </c>
      <c r="O190">
        <v>5</v>
      </c>
      <c r="P190" s="1">
        <v>29377</v>
      </c>
      <c r="Q190" s="7">
        <f>INT((crimenes_cordoba_ampliado[[#This Row],[Fecha]]-crimenes_cordoba_ampliado[[#This Row],[Fecha Nac. Víctima]])/365)</f>
        <v>36</v>
      </c>
      <c r="R190" s="7" t="str">
        <f>_xlfn.XLOOKUP(crimenes_cordoba_ampliado[[#This Row],[EDAD VICTIMA]],'Rango etareo'!$A$2:$A$25,'Rango etareo'!$B$2:$B$25,,-1)</f>
        <v>36 - 45</v>
      </c>
      <c r="S190" s="3" t="s">
        <v>22</v>
      </c>
      <c r="T190" s="3" t="str">
        <f>IF(crimenes_cordoba_ampliado[[#This Row],[Género Víctima]]="Masculino","🚹","🚺")</f>
        <v>🚹</v>
      </c>
      <c r="U190">
        <v>2</v>
      </c>
      <c r="V190" s="3" t="s">
        <v>25</v>
      </c>
      <c r="W190" s="3" t="s">
        <v>24</v>
      </c>
      <c r="X190" s="3" t="s">
        <v>24</v>
      </c>
      <c r="Y190" s="3" t="s">
        <v>133</v>
      </c>
      <c r="Z190" s="3" t="s">
        <v>25</v>
      </c>
      <c r="AA190" s="3" t="s">
        <v>25</v>
      </c>
      <c r="AB190" s="3" t="str">
        <f>IF(crimenes_cordoba_ampliado[[#This Row],[Hubo Arresto]]="Sí", "Resuelto", "Pendiente")</f>
        <v>Pendiente</v>
      </c>
      <c r="AC190" s="3" t="s">
        <v>24</v>
      </c>
      <c r="AD190" s="3"/>
    </row>
    <row r="191" spans="1:30" x14ac:dyDescent="0.25">
      <c r="A191">
        <v>457</v>
      </c>
      <c r="B191" s="1">
        <v>42796</v>
      </c>
      <c r="C191" s="33">
        <f t="shared" si="4"/>
        <v>42796</v>
      </c>
      <c r="D191" s="34">
        <f t="shared" si="5"/>
        <v>42796</v>
      </c>
      <c r="E191" s="35" t="s">
        <v>1454</v>
      </c>
      <c r="F191" s="2">
        <v>0.63263888888888886</v>
      </c>
      <c r="G191" s="3" t="s">
        <v>81</v>
      </c>
      <c r="H191" s="3" t="s">
        <v>55</v>
      </c>
      <c r="I191" s="25" t="str">
        <f>VLOOKUP(H191,Tabla5[#All],4,FALSE)</f>
        <v>-31,4015892433235, -64,160442876477</v>
      </c>
      <c r="J191" s="1">
        <v>22011</v>
      </c>
      <c r="K191" s="7">
        <f>INT((crimenes_cordoba_ampliado[[#This Row],[Fecha]]-crimenes_cordoba_ampliado[[#This Row],[Fecha Nac. Delincuente]])/365)</f>
        <v>56</v>
      </c>
      <c r="L191" s="7" t="str">
        <f>_xlfn.XLOOKUP(crimenes_cordoba_ampliado[[#This Row],[EDAD DELINCUENTE]],'Rango etareo'!$A$10:$A$25,'Rango etareo'!$B$10:$B$25,,-1)</f>
        <v>56 - 65</v>
      </c>
      <c r="M191" s="3" t="s">
        <v>22</v>
      </c>
      <c r="N191" s="3" t="str">
        <f>IF(crimenes_cordoba_ampliado[[#This Row],[Género Delincuente]]="Femenino","🚺","🚹")</f>
        <v>🚹</v>
      </c>
      <c r="O191">
        <v>4</v>
      </c>
      <c r="P191" s="1">
        <v>34190</v>
      </c>
      <c r="Q191" s="7">
        <f>INT((crimenes_cordoba_ampliado[[#This Row],[Fecha]]-crimenes_cordoba_ampliado[[#This Row],[Fecha Nac. Víctima]])/365)</f>
        <v>23</v>
      </c>
      <c r="R191" s="7" t="str">
        <f>_xlfn.XLOOKUP(crimenes_cordoba_ampliado[[#This Row],[EDAD VICTIMA]],'Rango etareo'!$A$2:$A$25,'Rango etareo'!$B$2:$B$25,,-1)</f>
        <v>18 - 25</v>
      </c>
      <c r="S191" s="3" t="s">
        <v>21</v>
      </c>
      <c r="T191" s="3" t="str">
        <f>IF(crimenes_cordoba_ampliado[[#This Row],[Género Víctima]]="Masculino","🚹","🚺")</f>
        <v>🚺</v>
      </c>
      <c r="U191">
        <v>1</v>
      </c>
      <c r="V191" s="3" t="s">
        <v>25</v>
      </c>
      <c r="W191" s="3" t="s">
        <v>24</v>
      </c>
      <c r="X191" s="3" t="s">
        <v>24</v>
      </c>
      <c r="Y191" s="3" t="s">
        <v>69</v>
      </c>
      <c r="Z191" s="3" t="s">
        <v>25</v>
      </c>
      <c r="AA191" s="3" t="s">
        <v>23</v>
      </c>
      <c r="AB191" s="3" t="str">
        <f>IF(crimenes_cordoba_ampliado[[#This Row],[Hubo Arresto]]="Sí", "Resuelto", "Pendiente")</f>
        <v>Pendiente</v>
      </c>
      <c r="AC191" s="3" t="s">
        <v>24</v>
      </c>
      <c r="AD191" s="3"/>
    </row>
    <row r="192" spans="1:30" x14ac:dyDescent="0.25">
      <c r="A192">
        <v>558</v>
      </c>
      <c r="B192" s="1">
        <v>42798</v>
      </c>
      <c r="C192" s="33">
        <f t="shared" si="4"/>
        <v>42798</v>
      </c>
      <c r="D192" s="34">
        <f t="shared" si="5"/>
        <v>42798</v>
      </c>
      <c r="E192" s="35" t="s">
        <v>1451</v>
      </c>
      <c r="F192" s="2">
        <v>0.82638888888888884</v>
      </c>
      <c r="G192" s="3" t="s">
        <v>81</v>
      </c>
      <c r="H192" s="3" t="s">
        <v>49</v>
      </c>
      <c r="I192" s="25" t="str">
        <f>VLOOKUP(H192,Tabla5[#All],4,FALSE)</f>
        <v>-31,4506257494184, -64,1733054344705</v>
      </c>
      <c r="J192" s="1">
        <v>24110</v>
      </c>
      <c r="K192" s="7">
        <f>INT((crimenes_cordoba_ampliado[[#This Row],[Fecha]]-crimenes_cordoba_ampliado[[#This Row],[Fecha Nac. Delincuente]])/365)</f>
        <v>51</v>
      </c>
      <c r="L192" s="7" t="str">
        <f>_xlfn.XLOOKUP(crimenes_cordoba_ampliado[[#This Row],[EDAD DELINCUENTE]],'Rango etareo'!$A$10:$A$25,'Rango etareo'!$B$10:$B$25,,-1)</f>
        <v>46 - 55</v>
      </c>
      <c r="M192" s="3" t="s">
        <v>21</v>
      </c>
      <c r="N192" s="3" t="str">
        <f>IF(crimenes_cordoba_ampliado[[#This Row],[Género Delincuente]]="Femenino","🚺","🚹")</f>
        <v>🚺</v>
      </c>
      <c r="O192">
        <v>4</v>
      </c>
      <c r="P192" s="1">
        <v>39381</v>
      </c>
      <c r="Q192" s="7">
        <f>INT((crimenes_cordoba_ampliado[[#This Row],[Fecha]]-crimenes_cordoba_ampliado[[#This Row],[Fecha Nac. Víctima]])/365)</f>
        <v>9</v>
      </c>
      <c r="R192" s="7" t="str">
        <f>_xlfn.XLOOKUP(crimenes_cordoba_ampliado[[#This Row],[EDAD VICTIMA]],'Rango etareo'!$A$2:$A$25,'Rango etareo'!$B$2:$B$25,,-1)</f>
        <v>&lt;=17</v>
      </c>
      <c r="S192" s="3" t="s">
        <v>22</v>
      </c>
      <c r="T192" s="3" t="str">
        <f>IF(crimenes_cordoba_ampliado[[#This Row],[Género Víctima]]="Masculino","🚹","🚺")</f>
        <v>🚹</v>
      </c>
      <c r="U192">
        <v>3</v>
      </c>
      <c r="V192" s="3" t="s">
        <v>25</v>
      </c>
      <c r="W192" s="3" t="s">
        <v>83</v>
      </c>
      <c r="X192" s="3" t="s">
        <v>24</v>
      </c>
      <c r="Y192" s="3" t="s">
        <v>77</v>
      </c>
      <c r="Z192" s="3" t="s">
        <v>23</v>
      </c>
      <c r="AA192" s="3" t="s">
        <v>23</v>
      </c>
      <c r="AB192" s="3" t="str">
        <f>IF(crimenes_cordoba_ampliado[[#This Row],[Hubo Arresto]]="Sí", "Resuelto", "Pendiente")</f>
        <v>Pendiente</v>
      </c>
      <c r="AC192" s="3" t="s">
        <v>24</v>
      </c>
      <c r="AD192" s="3"/>
    </row>
    <row r="193" spans="1:30" x14ac:dyDescent="0.25">
      <c r="A193">
        <v>182</v>
      </c>
      <c r="B193" s="1">
        <v>44576</v>
      </c>
      <c r="C193" s="33">
        <f t="shared" si="4"/>
        <v>44576</v>
      </c>
      <c r="D193" s="34">
        <f t="shared" si="5"/>
        <v>44576</v>
      </c>
      <c r="E193" s="35" t="s">
        <v>1451</v>
      </c>
      <c r="F193" s="2">
        <v>0.1701388888888889</v>
      </c>
      <c r="G193" s="3" t="s">
        <v>35</v>
      </c>
      <c r="H193" s="3" t="s">
        <v>55</v>
      </c>
      <c r="I193" s="25" t="str">
        <f>VLOOKUP(H193,Tabla5[#All],4,FALSE)</f>
        <v>-31,4015892433235, -64,160442876477</v>
      </c>
      <c r="J193" s="1">
        <v>29091</v>
      </c>
      <c r="K193" s="7">
        <f>INT((crimenes_cordoba_ampliado[[#This Row],[Fecha]]-crimenes_cordoba_ampliado[[#This Row],[Fecha Nac. Delincuente]])/365)</f>
        <v>42</v>
      </c>
      <c r="L193" s="7" t="str">
        <f>_xlfn.XLOOKUP(crimenes_cordoba_ampliado[[#This Row],[EDAD DELINCUENTE]],'Rango etareo'!$A$10:$A$25,'Rango etareo'!$B$10:$B$25,,-1)</f>
        <v>36 - 45</v>
      </c>
      <c r="M193" s="3" t="s">
        <v>21</v>
      </c>
      <c r="N193" s="3" t="str">
        <f>IF(crimenes_cordoba_ampliado[[#This Row],[Género Delincuente]]="Femenino","🚺","🚹")</f>
        <v>🚺</v>
      </c>
      <c r="O193">
        <v>3</v>
      </c>
      <c r="P193" s="1">
        <v>38149</v>
      </c>
      <c r="Q193" s="7">
        <f>INT((crimenes_cordoba_ampliado[[#This Row],[Fecha]]-crimenes_cordoba_ampliado[[#This Row],[Fecha Nac. Víctima]])/365)</f>
        <v>17</v>
      </c>
      <c r="R193" s="7" t="str">
        <f>_xlfn.XLOOKUP(crimenes_cordoba_ampliado[[#This Row],[EDAD VICTIMA]],'Rango etareo'!$A$2:$A$25,'Rango etareo'!$B$2:$B$25,,-1)</f>
        <v>&lt;=17</v>
      </c>
      <c r="S193" s="3" t="s">
        <v>21</v>
      </c>
      <c r="T193" s="3" t="str">
        <f>IF(crimenes_cordoba_ampliado[[#This Row],[Género Víctima]]="Masculino","🚹","🚺")</f>
        <v>🚺</v>
      </c>
      <c r="U193">
        <v>3</v>
      </c>
      <c r="V193" s="3" t="s">
        <v>23</v>
      </c>
      <c r="W193" s="3" t="s">
        <v>24</v>
      </c>
      <c r="X193" s="3" t="s">
        <v>24</v>
      </c>
      <c r="Y193" s="3" t="s">
        <v>106</v>
      </c>
      <c r="Z193" s="3" t="s">
        <v>23</v>
      </c>
      <c r="AA193" s="3" t="s">
        <v>23</v>
      </c>
      <c r="AB193" s="3" t="str">
        <f>IF(crimenes_cordoba_ampliado[[#This Row],[Hubo Arresto]]="Sí", "Resuelto", "Pendiente")</f>
        <v>Resuelto</v>
      </c>
      <c r="AC193" s="3" t="s">
        <v>157</v>
      </c>
      <c r="AD193" s="3"/>
    </row>
    <row r="194" spans="1:30" x14ac:dyDescent="0.25">
      <c r="A194">
        <v>183</v>
      </c>
      <c r="B194" s="1">
        <v>42159</v>
      </c>
      <c r="C194" s="33">
        <f t="shared" ref="C194:C257" si="6">B:B</f>
        <v>42159</v>
      </c>
      <c r="D194" s="34">
        <f t="shared" ref="D194:D257" si="7">B:B</f>
        <v>42159</v>
      </c>
      <c r="E194" s="35" t="s">
        <v>1454</v>
      </c>
      <c r="F194" s="2">
        <v>0.46944444444444444</v>
      </c>
      <c r="G194" s="3" t="s">
        <v>27</v>
      </c>
      <c r="H194" s="3" t="s">
        <v>60</v>
      </c>
      <c r="I194" s="25" t="str">
        <f>VLOOKUP(H194,Tabla5[#All],4,FALSE)</f>
        <v>-31,4076397196409, -64,2020170430678</v>
      </c>
      <c r="J194" s="1">
        <v>29164</v>
      </c>
      <c r="K194" s="7">
        <f>INT((crimenes_cordoba_ampliado[[#This Row],[Fecha]]-crimenes_cordoba_ampliado[[#This Row],[Fecha Nac. Delincuente]])/365)</f>
        <v>35</v>
      </c>
      <c r="L194" s="7" t="str">
        <f>_xlfn.XLOOKUP(crimenes_cordoba_ampliado[[#This Row],[EDAD DELINCUENTE]],'Rango etareo'!$A$10:$A$25,'Rango etareo'!$B$10:$B$25,,-1)</f>
        <v>26 - 35</v>
      </c>
      <c r="M194" s="3" t="s">
        <v>21</v>
      </c>
      <c r="N194" s="3" t="str">
        <f>IF(crimenes_cordoba_ampliado[[#This Row],[Género Delincuente]]="Femenino","🚺","🚹")</f>
        <v>🚺</v>
      </c>
      <c r="O194">
        <v>3</v>
      </c>
      <c r="P194" s="1">
        <v>28813</v>
      </c>
      <c r="Q194" s="7">
        <f>INT((crimenes_cordoba_ampliado[[#This Row],[Fecha]]-crimenes_cordoba_ampliado[[#This Row],[Fecha Nac. Víctima]])/365)</f>
        <v>36</v>
      </c>
      <c r="R194" s="7" t="str">
        <f>_xlfn.XLOOKUP(crimenes_cordoba_ampliado[[#This Row],[EDAD VICTIMA]],'Rango etareo'!$A$2:$A$25,'Rango etareo'!$B$2:$B$25,,-1)</f>
        <v>36 - 45</v>
      </c>
      <c r="S194" s="3" t="s">
        <v>21</v>
      </c>
      <c r="T194" s="3" t="str">
        <f>IF(crimenes_cordoba_ampliado[[#This Row],[Género Víctima]]="Masculino","🚹","🚺")</f>
        <v>🚺</v>
      </c>
      <c r="U194">
        <v>3</v>
      </c>
      <c r="V194" s="3" t="s">
        <v>23</v>
      </c>
      <c r="W194" s="3" t="s">
        <v>24</v>
      </c>
      <c r="X194" s="3" t="s">
        <v>24</v>
      </c>
      <c r="Y194" s="3" t="s">
        <v>39</v>
      </c>
      <c r="Z194" s="3" t="s">
        <v>25</v>
      </c>
      <c r="AA194" s="3" t="s">
        <v>25</v>
      </c>
      <c r="AB194" s="3" t="str">
        <f>IF(crimenes_cordoba_ampliado[[#This Row],[Hubo Arresto]]="Sí", "Resuelto", "Pendiente")</f>
        <v>Resuelto</v>
      </c>
      <c r="AC194" s="3" t="s">
        <v>158</v>
      </c>
      <c r="AD194" s="3"/>
    </row>
    <row r="195" spans="1:30" x14ac:dyDescent="0.25">
      <c r="A195">
        <v>187</v>
      </c>
      <c r="B195" s="1">
        <v>45264</v>
      </c>
      <c r="C195" s="33">
        <f t="shared" si="6"/>
        <v>45264</v>
      </c>
      <c r="D195" s="34">
        <f t="shared" si="7"/>
        <v>45264</v>
      </c>
      <c r="E195" s="35" t="s">
        <v>1452</v>
      </c>
      <c r="F195" s="2">
        <v>0.96944444444444444</v>
      </c>
      <c r="G195" s="3" t="s">
        <v>51</v>
      </c>
      <c r="H195" s="3" t="s">
        <v>62</v>
      </c>
      <c r="I195" s="25" t="str">
        <f>VLOOKUP(H195,Tabla5[#All],4,FALSE)</f>
        <v>-31,3909520937826, -64,1836424491715</v>
      </c>
      <c r="J195" s="1">
        <v>23199</v>
      </c>
      <c r="K195" s="7">
        <f>INT((crimenes_cordoba_ampliado[[#This Row],[Fecha]]-crimenes_cordoba_ampliado[[#This Row],[Fecha Nac. Delincuente]])/365)</f>
        <v>60</v>
      </c>
      <c r="L195" s="7" t="str">
        <f>_xlfn.XLOOKUP(crimenes_cordoba_ampliado[[#This Row],[EDAD DELINCUENTE]],'Rango etareo'!$A$10:$A$25,'Rango etareo'!$B$10:$B$25,,-1)</f>
        <v>56 - 65</v>
      </c>
      <c r="M195" s="3" t="s">
        <v>22</v>
      </c>
      <c r="N195" s="3" t="str">
        <f>IF(crimenes_cordoba_ampliado[[#This Row],[Género Delincuente]]="Femenino","🚺","🚹")</f>
        <v>🚹</v>
      </c>
      <c r="O195">
        <v>3</v>
      </c>
      <c r="P195" s="1">
        <v>27076</v>
      </c>
      <c r="Q195" s="7">
        <f>INT((crimenes_cordoba_ampliado[[#This Row],[Fecha]]-crimenes_cordoba_ampliado[[#This Row],[Fecha Nac. Víctima]])/365)</f>
        <v>49</v>
      </c>
      <c r="R195" s="7" t="str">
        <f>_xlfn.XLOOKUP(crimenes_cordoba_ampliado[[#This Row],[EDAD VICTIMA]],'Rango etareo'!$A$2:$A$25,'Rango etareo'!$B$2:$B$25,,-1)</f>
        <v>46 - 55</v>
      </c>
      <c r="S195" s="3" t="s">
        <v>21</v>
      </c>
      <c r="T195" s="3" t="str">
        <f>IF(crimenes_cordoba_ampliado[[#This Row],[Género Víctima]]="Masculino","🚹","🚺")</f>
        <v>🚺</v>
      </c>
      <c r="U195">
        <v>3</v>
      </c>
      <c r="V195" s="3" t="s">
        <v>23</v>
      </c>
      <c r="W195" s="3" t="s">
        <v>71</v>
      </c>
      <c r="X195" s="3" t="s">
        <v>24</v>
      </c>
      <c r="Y195" s="3" t="s">
        <v>64</v>
      </c>
      <c r="Z195" s="3" t="s">
        <v>25</v>
      </c>
      <c r="AA195" s="3" t="s">
        <v>25</v>
      </c>
      <c r="AB195" s="3" t="str">
        <f>IF(crimenes_cordoba_ampliado[[#This Row],[Hubo Arresto]]="Sí", "Resuelto", "Pendiente")</f>
        <v>Resuelto</v>
      </c>
      <c r="AC195" s="3" t="s">
        <v>159</v>
      </c>
      <c r="AD195" s="3"/>
    </row>
    <row r="196" spans="1:30" x14ac:dyDescent="0.25">
      <c r="A196">
        <v>188</v>
      </c>
      <c r="B196" s="1">
        <v>45475</v>
      </c>
      <c r="C196" s="33">
        <f t="shared" si="6"/>
        <v>45475</v>
      </c>
      <c r="D196" s="34">
        <f t="shared" si="7"/>
        <v>45475</v>
      </c>
      <c r="E196" s="35" t="s">
        <v>1453</v>
      </c>
      <c r="F196" s="2">
        <v>0.97986111111111107</v>
      </c>
      <c r="G196" s="3" t="s">
        <v>79</v>
      </c>
      <c r="H196" s="3" t="s">
        <v>65</v>
      </c>
      <c r="I196" s="25" t="str">
        <f>VLOOKUP(H196,Tabla5[#All],4,FALSE)</f>
        <v>-31,4285567311661, -64,1853198281007</v>
      </c>
      <c r="J196" s="1">
        <v>25711</v>
      </c>
      <c r="K196" s="7">
        <f>INT((crimenes_cordoba_ampliado[[#This Row],[Fecha]]-crimenes_cordoba_ampliado[[#This Row],[Fecha Nac. Delincuente]])/365)</f>
        <v>54</v>
      </c>
      <c r="L196" s="7" t="str">
        <f>_xlfn.XLOOKUP(crimenes_cordoba_ampliado[[#This Row],[EDAD DELINCUENTE]],'Rango etareo'!$A$10:$A$25,'Rango etareo'!$B$10:$B$25,,-1)</f>
        <v>46 - 55</v>
      </c>
      <c r="M196" s="3" t="s">
        <v>21</v>
      </c>
      <c r="N196" s="3" t="str">
        <f>IF(crimenes_cordoba_ampliado[[#This Row],[Género Delincuente]]="Femenino","🚺","🚹")</f>
        <v>🚺</v>
      </c>
      <c r="O196">
        <v>4</v>
      </c>
      <c r="P196" s="1">
        <v>37504</v>
      </c>
      <c r="Q196" s="7">
        <f>INT((crimenes_cordoba_ampliado[[#This Row],[Fecha]]-crimenes_cordoba_ampliado[[#This Row],[Fecha Nac. Víctima]])/365)</f>
        <v>21</v>
      </c>
      <c r="R196" s="7" t="str">
        <f>_xlfn.XLOOKUP(crimenes_cordoba_ampliado[[#This Row],[EDAD VICTIMA]],'Rango etareo'!$A$2:$A$25,'Rango etareo'!$B$2:$B$25,,-1)</f>
        <v>18 - 25</v>
      </c>
      <c r="S196" s="3" t="s">
        <v>22</v>
      </c>
      <c r="T196" s="3" t="str">
        <f>IF(crimenes_cordoba_ampliado[[#This Row],[Género Víctima]]="Masculino","🚹","🚺")</f>
        <v>🚹</v>
      </c>
      <c r="U196">
        <v>1</v>
      </c>
      <c r="V196" s="3" t="s">
        <v>23</v>
      </c>
      <c r="W196" s="3" t="s">
        <v>24</v>
      </c>
      <c r="X196" s="3" t="s">
        <v>24</v>
      </c>
      <c r="Y196" s="3" t="s">
        <v>33</v>
      </c>
      <c r="Z196" s="3" t="s">
        <v>25</v>
      </c>
      <c r="AA196" s="3" t="s">
        <v>25</v>
      </c>
      <c r="AB196" s="3" t="str">
        <f>IF(crimenes_cordoba_ampliado[[#This Row],[Hubo Arresto]]="Sí", "Resuelto", "Pendiente")</f>
        <v>Resuelto</v>
      </c>
      <c r="AC196" s="3" t="s">
        <v>160</v>
      </c>
      <c r="AD196" s="3"/>
    </row>
    <row r="197" spans="1:30" x14ac:dyDescent="0.25">
      <c r="A197">
        <v>468</v>
      </c>
      <c r="B197" s="1">
        <v>42817</v>
      </c>
      <c r="C197" s="33">
        <f t="shared" si="6"/>
        <v>42817</v>
      </c>
      <c r="D197" s="34">
        <f t="shared" si="7"/>
        <v>42817</v>
      </c>
      <c r="E197" s="35" t="s">
        <v>1454</v>
      </c>
      <c r="F197" s="2">
        <v>0.98263888888888884</v>
      </c>
      <c r="G197" s="3" t="s">
        <v>79</v>
      </c>
      <c r="H197" s="3" t="s">
        <v>40</v>
      </c>
      <c r="I197" s="25" t="str">
        <f>VLOOKUP(H197,Tabla5[#All],4,FALSE)</f>
        <v>-31,334500143441, -64,2460773260564</v>
      </c>
      <c r="J197" s="1">
        <v>22303</v>
      </c>
      <c r="K197" s="7">
        <f>INT((crimenes_cordoba_ampliado[[#This Row],[Fecha]]-crimenes_cordoba_ampliado[[#This Row],[Fecha Nac. Delincuente]])/365)</f>
        <v>56</v>
      </c>
      <c r="L197" s="7" t="str">
        <f>_xlfn.XLOOKUP(crimenes_cordoba_ampliado[[#This Row],[EDAD DELINCUENTE]],'Rango etareo'!$A$10:$A$25,'Rango etareo'!$B$10:$B$25,,-1)</f>
        <v>56 - 65</v>
      </c>
      <c r="M197" s="3" t="s">
        <v>22</v>
      </c>
      <c r="N197" s="3" t="str">
        <f>IF(crimenes_cordoba_ampliado[[#This Row],[Género Delincuente]]="Femenino","🚺","🚹")</f>
        <v>🚹</v>
      </c>
      <c r="O197">
        <v>1</v>
      </c>
      <c r="P197" s="1">
        <v>30147</v>
      </c>
      <c r="Q197" s="7">
        <f>INT((crimenes_cordoba_ampliado[[#This Row],[Fecha]]-crimenes_cordoba_ampliado[[#This Row],[Fecha Nac. Víctima]])/365)</f>
        <v>34</v>
      </c>
      <c r="R197" s="7" t="str">
        <f>_xlfn.XLOOKUP(crimenes_cordoba_ampliado[[#This Row],[EDAD VICTIMA]],'Rango etareo'!$A$2:$A$25,'Rango etareo'!$B$2:$B$25,,-1)</f>
        <v>26 - 35</v>
      </c>
      <c r="S197" s="3" t="s">
        <v>21</v>
      </c>
      <c r="T197" s="3" t="str">
        <f>IF(crimenes_cordoba_ampliado[[#This Row],[Género Víctima]]="Masculino","🚹","🚺")</f>
        <v>🚺</v>
      </c>
      <c r="U197">
        <v>2</v>
      </c>
      <c r="V197" s="3" t="s">
        <v>25</v>
      </c>
      <c r="W197" s="3" t="s">
        <v>63</v>
      </c>
      <c r="X197" s="3" t="s">
        <v>29</v>
      </c>
      <c r="Y197" s="3" t="s">
        <v>24</v>
      </c>
      <c r="Z197" s="3" t="s">
        <v>23</v>
      </c>
      <c r="AA197" s="3" t="s">
        <v>23</v>
      </c>
      <c r="AB197" s="3" t="str">
        <f>IF(crimenes_cordoba_ampliado[[#This Row],[Hubo Arresto]]="Sí", "Resuelto", "Pendiente")</f>
        <v>Pendiente</v>
      </c>
      <c r="AC197" s="3" t="s">
        <v>24</v>
      </c>
      <c r="AD197" s="3"/>
    </row>
    <row r="198" spans="1:30" x14ac:dyDescent="0.25">
      <c r="A198">
        <v>238</v>
      </c>
      <c r="B198" s="1">
        <v>42831</v>
      </c>
      <c r="C198" s="33">
        <f t="shared" si="6"/>
        <v>42831</v>
      </c>
      <c r="D198" s="34">
        <f t="shared" si="7"/>
        <v>42831</v>
      </c>
      <c r="E198" s="35" t="s">
        <v>1454</v>
      </c>
      <c r="F198" s="2">
        <v>6.3888888888888884E-2</v>
      </c>
      <c r="G198" s="3" t="s">
        <v>27</v>
      </c>
      <c r="H198" s="3" t="s">
        <v>52</v>
      </c>
      <c r="I198" s="25" t="str">
        <f>VLOOKUP(H198,Tabla5[#All],4,FALSE)</f>
        <v>-31,3477902896523, -64,2644406169297</v>
      </c>
      <c r="J198" s="1">
        <v>24974</v>
      </c>
      <c r="K198" s="7">
        <f>INT((crimenes_cordoba_ampliado[[#This Row],[Fecha]]-crimenes_cordoba_ampliado[[#This Row],[Fecha Nac. Delincuente]])/365)</f>
        <v>48</v>
      </c>
      <c r="L198" s="7" t="str">
        <f>_xlfn.XLOOKUP(crimenes_cordoba_ampliado[[#This Row],[EDAD DELINCUENTE]],'Rango etareo'!$A$10:$A$25,'Rango etareo'!$B$10:$B$25,,-1)</f>
        <v>46 - 55</v>
      </c>
      <c r="M198" s="3" t="s">
        <v>22</v>
      </c>
      <c r="N198" s="3" t="str">
        <f>IF(crimenes_cordoba_ampliado[[#This Row],[Género Delincuente]]="Femenino","🚺","🚹")</f>
        <v>🚹</v>
      </c>
      <c r="O198">
        <v>5</v>
      </c>
      <c r="P198" s="1">
        <v>26987</v>
      </c>
      <c r="Q198" s="7">
        <f>INT((crimenes_cordoba_ampliado[[#This Row],[Fecha]]-crimenes_cordoba_ampliado[[#This Row],[Fecha Nac. Víctima]])/365)</f>
        <v>43</v>
      </c>
      <c r="R198" s="7" t="str">
        <f>_xlfn.XLOOKUP(crimenes_cordoba_ampliado[[#This Row],[EDAD VICTIMA]],'Rango etareo'!$A$2:$A$25,'Rango etareo'!$B$2:$B$25,,-1)</f>
        <v>36 - 45</v>
      </c>
      <c r="S198" s="3" t="s">
        <v>22</v>
      </c>
      <c r="T198" s="3" t="str">
        <f>IF(crimenes_cordoba_ampliado[[#This Row],[Género Víctima]]="Masculino","🚹","🚺")</f>
        <v>🚹</v>
      </c>
      <c r="U198">
        <v>1</v>
      </c>
      <c r="V198" s="3" t="s">
        <v>25</v>
      </c>
      <c r="W198" s="3" t="s">
        <v>24</v>
      </c>
      <c r="X198" s="3" t="s">
        <v>24</v>
      </c>
      <c r="Y198" s="3" t="s">
        <v>106</v>
      </c>
      <c r="Z198" s="3" t="s">
        <v>25</v>
      </c>
      <c r="AA198" s="3" t="s">
        <v>23</v>
      </c>
      <c r="AB198" s="3" t="str">
        <f>IF(crimenes_cordoba_ampliado[[#This Row],[Hubo Arresto]]="Sí", "Resuelto", "Pendiente")</f>
        <v>Pendiente</v>
      </c>
      <c r="AC198" s="3" t="s">
        <v>24</v>
      </c>
      <c r="AD198" s="3"/>
    </row>
    <row r="199" spans="1:30" x14ac:dyDescent="0.25">
      <c r="A199">
        <v>441</v>
      </c>
      <c r="B199" s="1">
        <v>42833</v>
      </c>
      <c r="C199" s="33">
        <f t="shared" si="6"/>
        <v>42833</v>
      </c>
      <c r="D199" s="34">
        <f t="shared" si="7"/>
        <v>42833</v>
      </c>
      <c r="E199" s="35" t="s">
        <v>1451</v>
      </c>
      <c r="F199" s="2">
        <v>0.95902777777777781</v>
      </c>
      <c r="G199" s="3" t="s">
        <v>81</v>
      </c>
      <c r="H199" s="3" t="s">
        <v>52</v>
      </c>
      <c r="I199" s="25" t="str">
        <f>VLOOKUP(H199,Tabla5[#All],4,FALSE)</f>
        <v>-31,3477902896523, -64,2644406169297</v>
      </c>
      <c r="J199" s="1">
        <v>34529</v>
      </c>
      <c r="K199" s="7">
        <f>INT((crimenes_cordoba_ampliado[[#This Row],[Fecha]]-crimenes_cordoba_ampliado[[#This Row],[Fecha Nac. Delincuente]])/365)</f>
        <v>22</v>
      </c>
      <c r="L199" s="7" t="str">
        <f>_xlfn.XLOOKUP(crimenes_cordoba_ampliado[[#This Row],[EDAD DELINCUENTE]],'Rango etareo'!$A$10:$A$25,'Rango etareo'!$B$10:$B$25,,-1)</f>
        <v>18 - 25</v>
      </c>
      <c r="M199" s="3" t="s">
        <v>22</v>
      </c>
      <c r="N199" s="3" t="str">
        <f>IF(crimenes_cordoba_ampliado[[#This Row],[Género Delincuente]]="Femenino","🚺","🚹")</f>
        <v>🚹</v>
      </c>
      <c r="O199">
        <v>3</v>
      </c>
      <c r="P199" s="1">
        <v>28498</v>
      </c>
      <c r="Q199" s="7">
        <f>INT((crimenes_cordoba_ampliado[[#This Row],[Fecha]]-crimenes_cordoba_ampliado[[#This Row],[Fecha Nac. Víctima]])/365)</f>
        <v>39</v>
      </c>
      <c r="R199" s="7" t="str">
        <f>_xlfn.XLOOKUP(crimenes_cordoba_ampliado[[#This Row],[EDAD VICTIMA]],'Rango etareo'!$A$2:$A$25,'Rango etareo'!$B$2:$B$25,,-1)</f>
        <v>36 - 45</v>
      </c>
      <c r="S199" s="3" t="s">
        <v>22</v>
      </c>
      <c r="T199" s="3" t="str">
        <f>IF(crimenes_cordoba_ampliado[[#This Row],[Género Víctima]]="Masculino","🚹","🚺")</f>
        <v>🚹</v>
      </c>
      <c r="U199">
        <v>3</v>
      </c>
      <c r="V199" s="3" t="s">
        <v>25</v>
      </c>
      <c r="W199" s="3" t="s">
        <v>24</v>
      </c>
      <c r="X199" s="3" t="s">
        <v>50</v>
      </c>
      <c r="Y199" s="3" t="s">
        <v>24</v>
      </c>
      <c r="Z199" s="3" t="s">
        <v>25</v>
      </c>
      <c r="AA199" s="3" t="s">
        <v>25</v>
      </c>
      <c r="AB199" s="3" t="str">
        <f>IF(crimenes_cordoba_ampliado[[#This Row],[Hubo Arresto]]="Sí", "Resuelto", "Pendiente")</f>
        <v>Pendiente</v>
      </c>
      <c r="AC199" s="3" t="s">
        <v>24</v>
      </c>
      <c r="AD199" s="3"/>
    </row>
    <row r="200" spans="1:30" x14ac:dyDescent="0.25">
      <c r="A200">
        <v>190</v>
      </c>
      <c r="B200" s="1">
        <v>43158</v>
      </c>
      <c r="C200" s="33">
        <f t="shared" si="6"/>
        <v>43158</v>
      </c>
      <c r="D200" s="34">
        <f t="shared" si="7"/>
        <v>43158</v>
      </c>
      <c r="E200" s="35" t="s">
        <v>1453</v>
      </c>
      <c r="F200" s="2">
        <v>0.58750000000000002</v>
      </c>
      <c r="G200" s="3" t="s">
        <v>38</v>
      </c>
      <c r="H200" s="3" t="s">
        <v>65</v>
      </c>
      <c r="I200" s="25" t="str">
        <f>VLOOKUP(H200,Tabla5[#All],4,FALSE)</f>
        <v>-31,4285567311661, -64,1853198281007</v>
      </c>
      <c r="J200" s="1">
        <v>27950</v>
      </c>
      <c r="K200" s="7">
        <f>INT((crimenes_cordoba_ampliado[[#This Row],[Fecha]]-crimenes_cordoba_ampliado[[#This Row],[Fecha Nac. Delincuente]])/365)</f>
        <v>41</v>
      </c>
      <c r="L200" s="7" t="str">
        <f>_xlfn.XLOOKUP(crimenes_cordoba_ampliado[[#This Row],[EDAD DELINCUENTE]],'Rango etareo'!$A$10:$A$25,'Rango etareo'!$B$10:$B$25,,-1)</f>
        <v>36 - 45</v>
      </c>
      <c r="M200" s="3" t="s">
        <v>21</v>
      </c>
      <c r="N200" s="3" t="str">
        <f>IF(crimenes_cordoba_ampliado[[#This Row],[Género Delincuente]]="Femenino","🚺","🚹")</f>
        <v>🚺</v>
      </c>
      <c r="O200">
        <v>1</v>
      </c>
      <c r="P200" s="1">
        <v>34070</v>
      </c>
      <c r="Q200" s="7">
        <f>INT((crimenes_cordoba_ampliado[[#This Row],[Fecha]]-crimenes_cordoba_ampliado[[#This Row],[Fecha Nac. Víctima]])/365)</f>
        <v>24</v>
      </c>
      <c r="R200" s="7" t="str">
        <f>_xlfn.XLOOKUP(crimenes_cordoba_ampliado[[#This Row],[EDAD VICTIMA]],'Rango etareo'!$A$2:$A$25,'Rango etareo'!$B$2:$B$25,,-1)</f>
        <v>18 - 25</v>
      </c>
      <c r="S200" s="3" t="s">
        <v>22</v>
      </c>
      <c r="T200" s="3" t="str">
        <f>IF(crimenes_cordoba_ampliado[[#This Row],[Género Víctima]]="Masculino","🚹","🚺")</f>
        <v>🚹</v>
      </c>
      <c r="U200">
        <v>2</v>
      </c>
      <c r="V200" s="3" t="s">
        <v>23</v>
      </c>
      <c r="W200" s="3" t="s">
        <v>24</v>
      </c>
      <c r="X200" s="3" t="s">
        <v>67</v>
      </c>
      <c r="Y200" s="3" t="s">
        <v>24</v>
      </c>
      <c r="Z200" s="3" t="s">
        <v>25</v>
      </c>
      <c r="AA200" s="3" t="s">
        <v>25</v>
      </c>
      <c r="AB200" s="3" t="str">
        <f>IF(crimenes_cordoba_ampliado[[#This Row],[Hubo Arresto]]="Sí", "Resuelto", "Pendiente")</f>
        <v>Resuelto</v>
      </c>
      <c r="AC200" s="3" t="s">
        <v>110</v>
      </c>
      <c r="AD200" s="3"/>
    </row>
    <row r="201" spans="1:30" x14ac:dyDescent="0.25">
      <c r="A201">
        <v>333</v>
      </c>
      <c r="B201" s="1">
        <v>42836</v>
      </c>
      <c r="C201" s="33">
        <f t="shared" si="6"/>
        <v>42836</v>
      </c>
      <c r="D201" s="34">
        <f t="shared" si="7"/>
        <v>42836</v>
      </c>
      <c r="E201" s="35" t="s">
        <v>1453</v>
      </c>
      <c r="F201" s="2">
        <v>0.90763888888888888</v>
      </c>
      <c r="G201" s="3" t="s">
        <v>19</v>
      </c>
      <c r="H201" s="3" t="s">
        <v>28</v>
      </c>
      <c r="I201" s="25" t="str">
        <f>VLOOKUP(H201,Tabla5[#All],4,FALSE)</f>
        <v>-31,4129883640337, -64,1681120522587</v>
      </c>
      <c r="J201" s="1">
        <v>38115</v>
      </c>
      <c r="K201" s="7">
        <f>INT((crimenes_cordoba_ampliado[[#This Row],[Fecha]]-crimenes_cordoba_ampliado[[#This Row],[Fecha Nac. Delincuente]])/365)</f>
        <v>12</v>
      </c>
      <c r="L201" s="7" t="str">
        <f>_xlfn.XLOOKUP(crimenes_cordoba_ampliado[[#This Row],[EDAD DELINCUENTE]],'Rango etareo'!$A$10:$A$25,'Rango etareo'!$B$10:$B$25,,-1)</f>
        <v>&lt;=17</v>
      </c>
      <c r="M201" s="3" t="s">
        <v>21</v>
      </c>
      <c r="N201" s="3" t="str">
        <f>IF(crimenes_cordoba_ampliado[[#This Row],[Género Delincuente]]="Femenino","🚺","🚹")</f>
        <v>🚺</v>
      </c>
      <c r="O201">
        <v>4</v>
      </c>
      <c r="P201" s="1">
        <v>35668</v>
      </c>
      <c r="Q201" s="7">
        <f>INT((crimenes_cordoba_ampliado[[#This Row],[Fecha]]-crimenes_cordoba_ampliado[[#This Row],[Fecha Nac. Víctima]])/365)</f>
        <v>19</v>
      </c>
      <c r="R201" s="7" t="str">
        <f>_xlfn.XLOOKUP(crimenes_cordoba_ampliado[[#This Row],[EDAD VICTIMA]],'Rango etareo'!$A$2:$A$25,'Rango etareo'!$B$2:$B$25,,-1)</f>
        <v>18 - 25</v>
      </c>
      <c r="S201" s="3" t="s">
        <v>21</v>
      </c>
      <c r="T201" s="3" t="str">
        <f>IF(crimenes_cordoba_ampliado[[#This Row],[Género Víctima]]="Masculino","🚹","🚺")</f>
        <v>🚺</v>
      </c>
      <c r="U201">
        <v>2</v>
      </c>
      <c r="V201" s="3" t="s">
        <v>25</v>
      </c>
      <c r="W201" s="3" t="s">
        <v>24</v>
      </c>
      <c r="X201" s="3" t="s">
        <v>24</v>
      </c>
      <c r="Y201" s="3" t="s">
        <v>33</v>
      </c>
      <c r="Z201" s="3" t="s">
        <v>25</v>
      </c>
      <c r="AA201" s="3" t="s">
        <v>25</v>
      </c>
      <c r="AB201" s="3" t="str">
        <f>IF(crimenes_cordoba_ampliado[[#This Row],[Hubo Arresto]]="Sí", "Resuelto", "Pendiente")</f>
        <v>Pendiente</v>
      </c>
      <c r="AC201" s="3" t="s">
        <v>24</v>
      </c>
      <c r="AD201" s="3"/>
    </row>
    <row r="202" spans="1:30" x14ac:dyDescent="0.25">
      <c r="A202">
        <v>235</v>
      </c>
      <c r="B202" s="1">
        <v>42837</v>
      </c>
      <c r="C202" s="33">
        <f t="shared" si="6"/>
        <v>42837</v>
      </c>
      <c r="D202" s="34">
        <f t="shared" si="7"/>
        <v>42837</v>
      </c>
      <c r="E202" s="35" t="s">
        <v>1450</v>
      </c>
      <c r="F202" s="2">
        <v>0.96736111111111112</v>
      </c>
      <c r="G202" s="3" t="s">
        <v>79</v>
      </c>
      <c r="H202" s="3" t="s">
        <v>20</v>
      </c>
      <c r="I202" s="25" t="str">
        <f>VLOOKUP(H202,Tabla5[#All],4,FALSE)</f>
        <v>-31,4800162965848, -64,2094200976892</v>
      </c>
      <c r="J202" s="1">
        <v>28622</v>
      </c>
      <c r="K202" s="7">
        <f>INT((crimenes_cordoba_ampliado[[#This Row],[Fecha]]-crimenes_cordoba_ampliado[[#This Row],[Fecha Nac. Delincuente]])/365)</f>
        <v>38</v>
      </c>
      <c r="L202" s="7" t="str">
        <f>_xlfn.XLOOKUP(crimenes_cordoba_ampliado[[#This Row],[EDAD DELINCUENTE]],'Rango etareo'!$A$10:$A$25,'Rango etareo'!$B$10:$B$25,,-1)</f>
        <v>36 - 45</v>
      </c>
      <c r="M202" s="3" t="s">
        <v>21</v>
      </c>
      <c r="N202" s="3" t="str">
        <f>IF(crimenes_cordoba_ampliado[[#This Row],[Género Delincuente]]="Femenino","🚺","🚹")</f>
        <v>🚺</v>
      </c>
      <c r="O202">
        <v>5</v>
      </c>
      <c r="P202" s="1">
        <v>14681</v>
      </c>
      <c r="Q202" s="7">
        <f>INT((crimenes_cordoba_ampliado[[#This Row],[Fecha]]-crimenes_cordoba_ampliado[[#This Row],[Fecha Nac. Víctima]])/365)</f>
        <v>77</v>
      </c>
      <c r="R202" s="7" t="str">
        <f>_xlfn.XLOOKUP(crimenes_cordoba_ampliado[[#This Row],[EDAD VICTIMA]],'Rango etareo'!$A$2:$A$25,'Rango etareo'!$B$2:$B$25,,-1)</f>
        <v>&gt;65</v>
      </c>
      <c r="S202" s="3" t="s">
        <v>21</v>
      </c>
      <c r="T202" s="3" t="str">
        <f>IF(crimenes_cordoba_ampliado[[#This Row],[Género Víctima]]="Masculino","🚹","🚺")</f>
        <v>🚺</v>
      </c>
      <c r="U202">
        <v>1</v>
      </c>
      <c r="V202" s="3" t="s">
        <v>25</v>
      </c>
      <c r="W202" s="3" t="s">
        <v>24</v>
      </c>
      <c r="X202" s="3" t="s">
        <v>24</v>
      </c>
      <c r="Y202" s="3" t="s">
        <v>46</v>
      </c>
      <c r="Z202" s="3" t="s">
        <v>25</v>
      </c>
      <c r="AA202" s="3" t="s">
        <v>23</v>
      </c>
      <c r="AB202" s="3" t="str">
        <f>IF(crimenes_cordoba_ampliado[[#This Row],[Hubo Arresto]]="Sí", "Resuelto", "Pendiente")</f>
        <v>Pendiente</v>
      </c>
      <c r="AC202" s="3" t="s">
        <v>24</v>
      </c>
      <c r="AD202" s="3"/>
    </row>
    <row r="203" spans="1:30" x14ac:dyDescent="0.25">
      <c r="A203">
        <v>192</v>
      </c>
      <c r="B203" s="1">
        <v>43958</v>
      </c>
      <c r="C203" s="33">
        <f t="shared" si="6"/>
        <v>43958</v>
      </c>
      <c r="D203" s="34">
        <f t="shared" si="7"/>
        <v>43958</v>
      </c>
      <c r="E203" s="35" t="s">
        <v>1454</v>
      </c>
      <c r="F203" s="2">
        <v>0.79791666666666672</v>
      </c>
      <c r="G203" s="3" t="s">
        <v>48</v>
      </c>
      <c r="H203" s="3" t="s">
        <v>49</v>
      </c>
      <c r="I203" s="25" t="str">
        <f>VLOOKUP(H203,Tabla5[#All],4,FALSE)</f>
        <v>-31,4506257494184, -64,1733054344705</v>
      </c>
      <c r="J203" s="1">
        <v>29724</v>
      </c>
      <c r="K203" s="7">
        <f>INT((crimenes_cordoba_ampliado[[#This Row],[Fecha]]-crimenes_cordoba_ampliado[[#This Row],[Fecha Nac. Delincuente]])/365)</f>
        <v>38</v>
      </c>
      <c r="L203" s="7" t="str">
        <f>_xlfn.XLOOKUP(crimenes_cordoba_ampliado[[#This Row],[EDAD DELINCUENTE]],'Rango etareo'!$A$10:$A$25,'Rango etareo'!$B$10:$B$25,,-1)</f>
        <v>36 - 45</v>
      </c>
      <c r="M203" s="3" t="s">
        <v>22</v>
      </c>
      <c r="N203" s="3" t="str">
        <f>IF(crimenes_cordoba_ampliado[[#This Row],[Género Delincuente]]="Femenino","🚺","🚹")</f>
        <v>🚹</v>
      </c>
      <c r="O203">
        <v>1</v>
      </c>
      <c r="P203" s="1">
        <v>22397</v>
      </c>
      <c r="Q203" s="7">
        <f>INT((crimenes_cordoba_ampliado[[#This Row],[Fecha]]-crimenes_cordoba_ampliado[[#This Row],[Fecha Nac. Víctima]])/365)</f>
        <v>59</v>
      </c>
      <c r="R203" s="7" t="str">
        <f>_xlfn.XLOOKUP(crimenes_cordoba_ampliado[[#This Row],[EDAD VICTIMA]],'Rango etareo'!$A$2:$A$25,'Rango etareo'!$B$2:$B$25,,-1)</f>
        <v>56 - 65</v>
      </c>
      <c r="S203" s="3" t="s">
        <v>22</v>
      </c>
      <c r="T203" s="3" t="str">
        <f>IF(crimenes_cordoba_ampliado[[#This Row],[Género Víctima]]="Masculino","🚹","🚺")</f>
        <v>🚹</v>
      </c>
      <c r="U203">
        <v>3</v>
      </c>
      <c r="V203" s="3" t="s">
        <v>23</v>
      </c>
      <c r="W203" s="3" t="s">
        <v>24</v>
      </c>
      <c r="X203" s="3" t="s">
        <v>24</v>
      </c>
      <c r="Y203" s="3" t="s">
        <v>24</v>
      </c>
      <c r="Z203" s="3" t="s">
        <v>25</v>
      </c>
      <c r="AA203" s="3" t="s">
        <v>23</v>
      </c>
      <c r="AB203" s="3" t="str">
        <f>IF(crimenes_cordoba_ampliado[[#This Row],[Hubo Arresto]]="Sí", "Resuelto", "Pendiente")</f>
        <v>Resuelto</v>
      </c>
      <c r="AC203" s="3" t="s">
        <v>161</v>
      </c>
      <c r="AD203" s="3"/>
    </row>
    <row r="204" spans="1:30" x14ac:dyDescent="0.25">
      <c r="A204">
        <v>191</v>
      </c>
      <c r="B204" s="1">
        <v>42842</v>
      </c>
      <c r="C204" s="33">
        <f t="shared" si="6"/>
        <v>42842</v>
      </c>
      <c r="D204" s="34">
        <f t="shared" si="7"/>
        <v>42842</v>
      </c>
      <c r="E204" s="35" t="s">
        <v>1452</v>
      </c>
      <c r="F204" s="2">
        <v>0.41319444444444442</v>
      </c>
      <c r="G204" s="3" t="s">
        <v>81</v>
      </c>
      <c r="H204" s="3" t="s">
        <v>62</v>
      </c>
      <c r="I204" s="25" t="str">
        <f>VLOOKUP(H204,Tabla5[#All],4,FALSE)</f>
        <v>-31,3909520937826, -64,1836424491715</v>
      </c>
      <c r="J204" s="1">
        <v>23878</v>
      </c>
      <c r="K204" s="7">
        <f>INT((crimenes_cordoba_ampliado[[#This Row],[Fecha]]-crimenes_cordoba_ampliado[[#This Row],[Fecha Nac. Delincuente]])/365)</f>
        <v>51</v>
      </c>
      <c r="L204" s="7" t="str">
        <f>_xlfn.XLOOKUP(crimenes_cordoba_ampliado[[#This Row],[EDAD DELINCUENTE]],'Rango etareo'!$A$10:$A$25,'Rango etareo'!$B$10:$B$25,,-1)</f>
        <v>46 - 55</v>
      </c>
      <c r="M204" s="3" t="s">
        <v>21</v>
      </c>
      <c r="N204" s="3" t="str">
        <f>IF(crimenes_cordoba_ampliado[[#This Row],[Género Delincuente]]="Femenino","🚺","🚹")</f>
        <v>🚺</v>
      </c>
      <c r="O204">
        <v>2</v>
      </c>
      <c r="P204" s="1">
        <v>41230</v>
      </c>
      <c r="Q204" s="7">
        <f>INT((crimenes_cordoba_ampliado[[#This Row],[Fecha]]-crimenes_cordoba_ampliado[[#This Row],[Fecha Nac. Víctima]])/365)</f>
        <v>4</v>
      </c>
      <c r="R204" s="7" t="str">
        <f>_xlfn.XLOOKUP(crimenes_cordoba_ampliado[[#This Row],[EDAD VICTIMA]],'Rango etareo'!$A$2:$A$25,'Rango etareo'!$B$2:$B$25,,-1)</f>
        <v>&lt;=17</v>
      </c>
      <c r="S204" s="3" t="s">
        <v>22</v>
      </c>
      <c r="T204" s="3" t="str">
        <f>IF(crimenes_cordoba_ampliado[[#This Row],[Género Víctima]]="Masculino","🚹","🚺")</f>
        <v>🚹</v>
      </c>
      <c r="U204">
        <v>1</v>
      </c>
      <c r="V204" s="3" t="s">
        <v>25</v>
      </c>
      <c r="W204" s="3" t="s">
        <v>24</v>
      </c>
      <c r="X204" s="3" t="s">
        <v>41</v>
      </c>
      <c r="Y204" s="3" t="s">
        <v>24</v>
      </c>
      <c r="Z204" s="3" t="s">
        <v>25</v>
      </c>
      <c r="AA204" s="3" t="s">
        <v>25</v>
      </c>
      <c r="AB204" s="3" t="str">
        <f>IF(crimenes_cordoba_ampliado[[#This Row],[Hubo Arresto]]="Sí", "Resuelto", "Pendiente")</f>
        <v>Pendiente</v>
      </c>
      <c r="AC204" s="3" t="s">
        <v>24</v>
      </c>
      <c r="AD204" s="3"/>
    </row>
    <row r="205" spans="1:30" x14ac:dyDescent="0.25">
      <c r="A205">
        <v>227</v>
      </c>
      <c r="B205" s="1">
        <v>42844</v>
      </c>
      <c r="C205" s="33">
        <f t="shared" si="6"/>
        <v>42844</v>
      </c>
      <c r="D205" s="34">
        <f t="shared" si="7"/>
        <v>42844</v>
      </c>
      <c r="E205" s="35" t="s">
        <v>1450</v>
      </c>
      <c r="F205" s="2">
        <v>0.90069444444444446</v>
      </c>
      <c r="G205" s="3" t="s">
        <v>42</v>
      </c>
      <c r="H205" s="3" t="s">
        <v>32</v>
      </c>
      <c r="I205" s="25" t="str">
        <f>VLOOKUP(H205,Tabla5[#All],4,FALSE)</f>
        <v>-31,4148488101991, -64,1793406489438</v>
      </c>
      <c r="J205" s="1">
        <v>30241</v>
      </c>
      <c r="K205" s="7">
        <f>INT((crimenes_cordoba_ampliado[[#This Row],[Fecha]]-crimenes_cordoba_ampliado[[#This Row],[Fecha Nac. Delincuente]])/365)</f>
        <v>34</v>
      </c>
      <c r="L205" s="7" t="str">
        <f>_xlfn.XLOOKUP(crimenes_cordoba_ampliado[[#This Row],[EDAD DELINCUENTE]],'Rango etareo'!$A$10:$A$25,'Rango etareo'!$B$10:$B$25,,-1)</f>
        <v>26 - 35</v>
      </c>
      <c r="M205" s="3" t="s">
        <v>22</v>
      </c>
      <c r="N205" s="3" t="str">
        <f>IF(crimenes_cordoba_ampliado[[#This Row],[Género Delincuente]]="Femenino","🚺","🚹")</f>
        <v>🚹</v>
      </c>
      <c r="O205">
        <v>5</v>
      </c>
      <c r="P205" s="1">
        <v>37242</v>
      </c>
      <c r="Q205" s="7">
        <f>INT((crimenes_cordoba_ampliado[[#This Row],[Fecha]]-crimenes_cordoba_ampliado[[#This Row],[Fecha Nac. Víctima]])/365)</f>
        <v>15</v>
      </c>
      <c r="R205" s="7" t="str">
        <f>_xlfn.XLOOKUP(crimenes_cordoba_ampliado[[#This Row],[EDAD VICTIMA]],'Rango etareo'!$A$2:$A$25,'Rango etareo'!$B$2:$B$25,,-1)</f>
        <v>&lt;=17</v>
      </c>
      <c r="S205" s="3" t="s">
        <v>22</v>
      </c>
      <c r="T205" s="3" t="str">
        <f>IF(crimenes_cordoba_ampliado[[#This Row],[Género Víctima]]="Masculino","🚹","🚺")</f>
        <v>🚹</v>
      </c>
      <c r="U205">
        <v>2</v>
      </c>
      <c r="V205" s="3" t="s">
        <v>25</v>
      </c>
      <c r="W205" s="3" t="s">
        <v>24</v>
      </c>
      <c r="X205" s="3" t="s">
        <v>67</v>
      </c>
      <c r="Y205" s="3" t="s">
        <v>24</v>
      </c>
      <c r="Z205" s="3" t="s">
        <v>25</v>
      </c>
      <c r="AA205" s="3" t="s">
        <v>25</v>
      </c>
      <c r="AB205" s="3" t="str">
        <f>IF(crimenes_cordoba_ampliado[[#This Row],[Hubo Arresto]]="Sí", "Resuelto", "Pendiente")</f>
        <v>Pendiente</v>
      </c>
      <c r="AC205" s="3" t="s">
        <v>24</v>
      </c>
      <c r="AD205" s="3"/>
    </row>
    <row r="206" spans="1:30" x14ac:dyDescent="0.25">
      <c r="A206">
        <v>193</v>
      </c>
      <c r="B206" s="1">
        <v>43394</v>
      </c>
      <c r="C206" s="33">
        <f t="shared" si="6"/>
        <v>43394</v>
      </c>
      <c r="D206" s="34">
        <f t="shared" si="7"/>
        <v>43394</v>
      </c>
      <c r="E206" s="35" t="s">
        <v>1449</v>
      </c>
      <c r="F206" s="2">
        <v>8.0555555555555561E-2</v>
      </c>
      <c r="G206" s="3" t="s">
        <v>48</v>
      </c>
      <c r="H206" s="3" t="s">
        <v>52</v>
      </c>
      <c r="I206" s="25" t="str">
        <f>VLOOKUP(H206,Tabla5[#All],4,FALSE)</f>
        <v>-31,3477902896523, -64,2644406169297</v>
      </c>
      <c r="J206" s="1">
        <v>33384</v>
      </c>
      <c r="K206" s="7">
        <f>INT((crimenes_cordoba_ampliado[[#This Row],[Fecha]]-crimenes_cordoba_ampliado[[#This Row],[Fecha Nac. Delincuente]])/365)</f>
        <v>27</v>
      </c>
      <c r="L206" s="7" t="str">
        <f>_xlfn.XLOOKUP(crimenes_cordoba_ampliado[[#This Row],[EDAD DELINCUENTE]],'Rango etareo'!$A$10:$A$25,'Rango etareo'!$B$10:$B$25,,-1)</f>
        <v>26 - 35</v>
      </c>
      <c r="M206" s="3" t="s">
        <v>21</v>
      </c>
      <c r="N206" s="3" t="str">
        <f>IF(crimenes_cordoba_ampliado[[#This Row],[Género Delincuente]]="Femenino","🚺","🚹")</f>
        <v>🚺</v>
      </c>
      <c r="O206">
        <v>1</v>
      </c>
      <c r="P206" s="1">
        <v>21890</v>
      </c>
      <c r="Q206" s="7">
        <f>INT((crimenes_cordoba_ampliado[[#This Row],[Fecha]]-crimenes_cordoba_ampliado[[#This Row],[Fecha Nac. Víctima]])/365)</f>
        <v>58</v>
      </c>
      <c r="R206" s="7" t="str">
        <f>_xlfn.XLOOKUP(crimenes_cordoba_ampliado[[#This Row],[EDAD VICTIMA]],'Rango etareo'!$A$2:$A$25,'Rango etareo'!$B$2:$B$25,,-1)</f>
        <v>56 - 65</v>
      </c>
      <c r="S206" s="3" t="s">
        <v>21</v>
      </c>
      <c r="T206" s="3" t="str">
        <f>IF(crimenes_cordoba_ampliado[[#This Row],[Género Víctima]]="Masculino","🚹","🚺")</f>
        <v>🚺</v>
      </c>
      <c r="U206">
        <v>1</v>
      </c>
      <c r="V206" s="3" t="s">
        <v>23</v>
      </c>
      <c r="W206" s="3" t="s">
        <v>24</v>
      </c>
      <c r="X206" s="3" t="s">
        <v>24</v>
      </c>
      <c r="Y206" s="3" t="s">
        <v>113</v>
      </c>
      <c r="Z206" s="3" t="s">
        <v>23</v>
      </c>
      <c r="AA206" s="3" t="s">
        <v>25</v>
      </c>
      <c r="AB206" s="3" t="str">
        <f>IF(crimenes_cordoba_ampliado[[#This Row],[Hubo Arresto]]="Sí", "Resuelto", "Pendiente")</f>
        <v>Resuelto</v>
      </c>
      <c r="AC206" s="3" t="s">
        <v>162</v>
      </c>
      <c r="AD206" s="3"/>
    </row>
    <row r="207" spans="1:30" x14ac:dyDescent="0.25">
      <c r="A207">
        <v>196</v>
      </c>
      <c r="B207" s="1">
        <v>45538</v>
      </c>
      <c r="C207" s="33">
        <f t="shared" si="6"/>
        <v>45538</v>
      </c>
      <c r="D207" s="34">
        <f t="shared" si="7"/>
        <v>45538</v>
      </c>
      <c r="E207" s="35" t="s">
        <v>1453</v>
      </c>
      <c r="F207" s="2">
        <v>0.55833333333333335</v>
      </c>
      <c r="G207" s="3" t="s">
        <v>42</v>
      </c>
      <c r="H207" s="3" t="s">
        <v>52</v>
      </c>
      <c r="I207" s="25" t="str">
        <f>VLOOKUP(H207,Tabla5[#All],4,FALSE)</f>
        <v>-31,3477902896523, -64,2644406169297</v>
      </c>
      <c r="J207" s="1">
        <v>34448</v>
      </c>
      <c r="K207" s="7">
        <f>INT((crimenes_cordoba_ampliado[[#This Row],[Fecha]]-crimenes_cordoba_ampliado[[#This Row],[Fecha Nac. Delincuente]])/365)</f>
        <v>30</v>
      </c>
      <c r="L207" s="7" t="str">
        <f>_xlfn.XLOOKUP(crimenes_cordoba_ampliado[[#This Row],[EDAD DELINCUENTE]],'Rango etareo'!$A$10:$A$25,'Rango etareo'!$B$10:$B$25,,-1)</f>
        <v>26 - 35</v>
      </c>
      <c r="M207" s="3" t="s">
        <v>22</v>
      </c>
      <c r="N207" s="3" t="str">
        <f>IF(crimenes_cordoba_ampliado[[#This Row],[Género Delincuente]]="Femenino","🚺","🚹")</f>
        <v>🚹</v>
      </c>
      <c r="O207">
        <v>4</v>
      </c>
      <c r="P207" s="1">
        <v>23625</v>
      </c>
      <c r="Q207" s="7">
        <f>INT((crimenes_cordoba_ampliado[[#This Row],[Fecha]]-crimenes_cordoba_ampliado[[#This Row],[Fecha Nac. Víctima]])/365)</f>
        <v>60</v>
      </c>
      <c r="R207" s="7" t="str">
        <f>_xlfn.XLOOKUP(crimenes_cordoba_ampliado[[#This Row],[EDAD VICTIMA]],'Rango etareo'!$A$2:$A$25,'Rango etareo'!$B$2:$B$25,,-1)</f>
        <v>56 - 65</v>
      </c>
      <c r="S207" s="3" t="s">
        <v>22</v>
      </c>
      <c r="T207" s="3" t="str">
        <f>IF(crimenes_cordoba_ampliado[[#This Row],[Género Víctima]]="Masculino","🚹","🚺")</f>
        <v>🚹</v>
      </c>
      <c r="U207">
        <v>1</v>
      </c>
      <c r="V207" s="3" t="s">
        <v>23</v>
      </c>
      <c r="W207" s="3" t="s">
        <v>24</v>
      </c>
      <c r="X207" s="3" t="s">
        <v>24</v>
      </c>
      <c r="Y207" s="3" t="s">
        <v>89</v>
      </c>
      <c r="Z207" s="3" t="s">
        <v>25</v>
      </c>
      <c r="AA207" s="3" t="s">
        <v>25</v>
      </c>
      <c r="AB207" s="3" t="str">
        <f>IF(crimenes_cordoba_ampliado[[#This Row],[Hubo Arresto]]="Sí", "Resuelto", "Pendiente")</f>
        <v>Resuelto</v>
      </c>
      <c r="AC207" s="3" t="s">
        <v>121</v>
      </c>
      <c r="AD207" s="3"/>
    </row>
    <row r="208" spans="1:30" x14ac:dyDescent="0.25">
      <c r="A208">
        <v>697</v>
      </c>
      <c r="B208" s="1">
        <v>42853</v>
      </c>
      <c r="C208" s="33">
        <f t="shared" si="6"/>
        <v>42853</v>
      </c>
      <c r="D208" s="34">
        <f t="shared" si="7"/>
        <v>42853</v>
      </c>
      <c r="E208" s="35" t="s">
        <v>1455</v>
      </c>
      <c r="F208" s="2">
        <v>0.96666666666666667</v>
      </c>
      <c r="G208" s="3" t="s">
        <v>45</v>
      </c>
      <c r="H208" s="3" t="s">
        <v>60</v>
      </c>
      <c r="I208" s="25" t="str">
        <f>VLOOKUP(H208,Tabla5[#All],4,FALSE)</f>
        <v>-31,4076397196409, -64,2020170430678</v>
      </c>
      <c r="J208" s="1">
        <v>21882</v>
      </c>
      <c r="K208" s="7">
        <f>INT((crimenes_cordoba_ampliado[[#This Row],[Fecha]]-crimenes_cordoba_ampliado[[#This Row],[Fecha Nac. Delincuente]])/365)</f>
        <v>57</v>
      </c>
      <c r="L208" s="7" t="str">
        <f>_xlfn.XLOOKUP(crimenes_cordoba_ampliado[[#This Row],[EDAD DELINCUENTE]],'Rango etareo'!$A$10:$A$25,'Rango etareo'!$B$10:$B$25,,-1)</f>
        <v>56 - 65</v>
      </c>
      <c r="M208" s="3" t="s">
        <v>21</v>
      </c>
      <c r="N208" s="3" t="str">
        <f>IF(crimenes_cordoba_ampliado[[#This Row],[Género Delincuente]]="Femenino","🚺","🚹")</f>
        <v>🚺</v>
      </c>
      <c r="O208">
        <v>3</v>
      </c>
      <c r="P208" s="1">
        <v>26817</v>
      </c>
      <c r="Q208" s="7">
        <f>INT((crimenes_cordoba_ampliado[[#This Row],[Fecha]]-crimenes_cordoba_ampliado[[#This Row],[Fecha Nac. Víctima]])/365)</f>
        <v>43</v>
      </c>
      <c r="R208" s="7" t="str">
        <f>_xlfn.XLOOKUP(crimenes_cordoba_ampliado[[#This Row],[EDAD VICTIMA]],'Rango etareo'!$A$2:$A$25,'Rango etareo'!$B$2:$B$25,,-1)</f>
        <v>36 - 45</v>
      </c>
      <c r="S208" s="3" t="s">
        <v>22</v>
      </c>
      <c r="T208" s="3" t="str">
        <f>IF(crimenes_cordoba_ampliado[[#This Row],[Género Víctima]]="Masculino","🚹","🚺")</f>
        <v>🚹</v>
      </c>
      <c r="U208">
        <v>1</v>
      </c>
      <c r="V208" s="3" t="s">
        <v>25</v>
      </c>
      <c r="W208" s="3" t="s">
        <v>24</v>
      </c>
      <c r="X208" s="3" t="s">
        <v>24</v>
      </c>
      <c r="Y208" s="3" t="s">
        <v>133</v>
      </c>
      <c r="Z208" s="3" t="s">
        <v>25</v>
      </c>
      <c r="AA208" s="3" t="s">
        <v>25</v>
      </c>
      <c r="AB208" s="3" t="str">
        <f>IF(crimenes_cordoba_ampliado[[#This Row],[Hubo Arresto]]="Sí", "Resuelto", "Pendiente")</f>
        <v>Pendiente</v>
      </c>
      <c r="AC208" s="3" t="s">
        <v>24</v>
      </c>
      <c r="AD208" s="3"/>
    </row>
    <row r="209" spans="1:30" x14ac:dyDescent="0.25">
      <c r="A209">
        <v>673</v>
      </c>
      <c r="B209" s="1">
        <v>42857</v>
      </c>
      <c r="C209" s="33">
        <f t="shared" si="6"/>
        <v>42857</v>
      </c>
      <c r="D209" s="34">
        <f t="shared" si="7"/>
        <v>42857</v>
      </c>
      <c r="E209" s="35" t="s">
        <v>1453</v>
      </c>
      <c r="F209" s="2">
        <v>0.36458333333333331</v>
      </c>
      <c r="G209" s="3" t="s">
        <v>35</v>
      </c>
      <c r="H209" s="3" t="s">
        <v>55</v>
      </c>
      <c r="I209" s="25" t="str">
        <f>VLOOKUP(H209,Tabla5[#All],4,FALSE)</f>
        <v>-31,4015892433235, -64,160442876477</v>
      </c>
      <c r="J209" s="1">
        <v>38527</v>
      </c>
      <c r="K209" s="7">
        <f>INT((crimenes_cordoba_ampliado[[#This Row],[Fecha]]-crimenes_cordoba_ampliado[[#This Row],[Fecha Nac. Delincuente]])/365)</f>
        <v>11</v>
      </c>
      <c r="L209" s="7" t="str">
        <f>_xlfn.XLOOKUP(crimenes_cordoba_ampliado[[#This Row],[EDAD DELINCUENTE]],'Rango etareo'!$A$10:$A$25,'Rango etareo'!$B$10:$B$25,,-1)</f>
        <v>&lt;=17</v>
      </c>
      <c r="M209" s="3" t="s">
        <v>22</v>
      </c>
      <c r="N209" s="3" t="str">
        <f>IF(crimenes_cordoba_ampliado[[#This Row],[Género Delincuente]]="Femenino","🚺","🚹")</f>
        <v>🚹</v>
      </c>
      <c r="O209">
        <v>2</v>
      </c>
      <c r="P209" s="1">
        <v>28804</v>
      </c>
      <c r="Q209" s="7">
        <f>INT((crimenes_cordoba_ampliado[[#This Row],[Fecha]]-crimenes_cordoba_ampliado[[#This Row],[Fecha Nac. Víctima]])/365)</f>
        <v>38</v>
      </c>
      <c r="R209" s="7" t="str">
        <f>_xlfn.XLOOKUP(crimenes_cordoba_ampliado[[#This Row],[EDAD VICTIMA]],'Rango etareo'!$A$2:$A$25,'Rango etareo'!$B$2:$B$25,,-1)</f>
        <v>36 - 45</v>
      </c>
      <c r="S209" s="3" t="s">
        <v>21</v>
      </c>
      <c r="T209" s="3" t="str">
        <f>IF(crimenes_cordoba_ampliado[[#This Row],[Género Víctima]]="Masculino","🚹","🚺")</f>
        <v>🚺</v>
      </c>
      <c r="U209">
        <v>2</v>
      </c>
      <c r="V209" s="3" t="s">
        <v>25</v>
      </c>
      <c r="W209" s="3" t="s">
        <v>24</v>
      </c>
      <c r="X209" s="3" t="s">
        <v>24</v>
      </c>
      <c r="Y209" s="3" t="s">
        <v>24</v>
      </c>
      <c r="Z209" s="3" t="s">
        <v>25</v>
      </c>
      <c r="AA209" s="3" t="s">
        <v>23</v>
      </c>
      <c r="AB209" s="3" t="str">
        <f>IF(crimenes_cordoba_ampliado[[#This Row],[Hubo Arresto]]="Sí", "Resuelto", "Pendiente")</f>
        <v>Pendiente</v>
      </c>
      <c r="AC209" s="3" t="s">
        <v>24</v>
      </c>
      <c r="AD209" s="3"/>
    </row>
    <row r="210" spans="1:30" x14ac:dyDescent="0.25">
      <c r="A210">
        <v>200</v>
      </c>
      <c r="B210" s="1">
        <v>44894</v>
      </c>
      <c r="C210" s="33">
        <f t="shared" si="6"/>
        <v>44894</v>
      </c>
      <c r="D210" s="34">
        <f t="shared" si="7"/>
        <v>44894</v>
      </c>
      <c r="E210" s="35" t="s">
        <v>1453</v>
      </c>
      <c r="F210" s="2">
        <v>0.45555555555555555</v>
      </c>
      <c r="G210" s="3" t="s">
        <v>42</v>
      </c>
      <c r="H210" s="3" t="s">
        <v>58</v>
      </c>
      <c r="I210" s="25" t="str">
        <f>VLOOKUP(H210,Tabla5[#All],4,FALSE)</f>
        <v>-31,423018915313, -64,1493562190664</v>
      </c>
      <c r="J210" s="1">
        <v>33056</v>
      </c>
      <c r="K210" s="7">
        <f>INT((crimenes_cordoba_ampliado[[#This Row],[Fecha]]-crimenes_cordoba_ampliado[[#This Row],[Fecha Nac. Delincuente]])/365)</f>
        <v>32</v>
      </c>
      <c r="L210" s="7" t="str">
        <f>_xlfn.XLOOKUP(crimenes_cordoba_ampliado[[#This Row],[EDAD DELINCUENTE]],'Rango etareo'!$A$10:$A$25,'Rango etareo'!$B$10:$B$25,,-1)</f>
        <v>26 - 35</v>
      </c>
      <c r="M210" s="3" t="s">
        <v>22</v>
      </c>
      <c r="N210" s="3" t="str">
        <f>IF(crimenes_cordoba_ampliado[[#This Row],[Género Delincuente]]="Femenino","🚺","🚹")</f>
        <v>🚹</v>
      </c>
      <c r="O210">
        <v>1</v>
      </c>
      <c r="P210" s="1">
        <v>33787</v>
      </c>
      <c r="Q210" s="7">
        <f>INT((crimenes_cordoba_ampliado[[#This Row],[Fecha]]-crimenes_cordoba_ampliado[[#This Row],[Fecha Nac. Víctima]])/365)</f>
        <v>30</v>
      </c>
      <c r="R210" s="7" t="str">
        <f>_xlfn.XLOOKUP(crimenes_cordoba_ampliado[[#This Row],[EDAD VICTIMA]],'Rango etareo'!$A$2:$A$25,'Rango etareo'!$B$2:$B$25,,-1)</f>
        <v>26 - 35</v>
      </c>
      <c r="S210" s="3" t="s">
        <v>22</v>
      </c>
      <c r="T210" s="3" t="str">
        <f>IF(crimenes_cordoba_ampliado[[#This Row],[Género Víctima]]="Masculino","🚹","🚺")</f>
        <v>🚹</v>
      </c>
      <c r="U210">
        <v>2</v>
      </c>
      <c r="V210" s="3" t="s">
        <v>23</v>
      </c>
      <c r="W210" s="3" t="s">
        <v>24</v>
      </c>
      <c r="X210" s="3" t="s">
        <v>24</v>
      </c>
      <c r="Y210" s="3" t="s">
        <v>89</v>
      </c>
      <c r="Z210" s="3" t="s">
        <v>23</v>
      </c>
      <c r="AA210" s="3" t="s">
        <v>23</v>
      </c>
      <c r="AB210" s="3" t="str">
        <f>IF(crimenes_cordoba_ampliado[[#This Row],[Hubo Arresto]]="Sí", "Resuelto", "Pendiente")</f>
        <v>Resuelto</v>
      </c>
      <c r="AC210" s="3" t="s">
        <v>163</v>
      </c>
      <c r="AD210" s="3"/>
    </row>
    <row r="211" spans="1:30" x14ac:dyDescent="0.25">
      <c r="A211">
        <v>203</v>
      </c>
      <c r="B211" s="1">
        <v>43737</v>
      </c>
      <c r="C211" s="33">
        <f t="shared" si="6"/>
        <v>43737</v>
      </c>
      <c r="D211" s="34">
        <f t="shared" si="7"/>
        <v>43737</v>
      </c>
      <c r="E211" s="35" t="s">
        <v>1449</v>
      </c>
      <c r="F211" s="2">
        <v>0.17499999999999999</v>
      </c>
      <c r="G211" s="3" t="s">
        <v>51</v>
      </c>
      <c r="H211" s="3" t="s">
        <v>28</v>
      </c>
      <c r="I211" s="25" t="str">
        <f>VLOOKUP(H211,Tabla5[#All],4,FALSE)</f>
        <v>-31,4129883640337, -64,1681120522587</v>
      </c>
      <c r="J211" s="1">
        <v>25881</v>
      </c>
      <c r="K211" s="7">
        <f>INT((crimenes_cordoba_ampliado[[#This Row],[Fecha]]-crimenes_cordoba_ampliado[[#This Row],[Fecha Nac. Delincuente]])/365)</f>
        <v>48</v>
      </c>
      <c r="L211" s="7" t="str">
        <f>_xlfn.XLOOKUP(crimenes_cordoba_ampliado[[#This Row],[EDAD DELINCUENTE]],'Rango etareo'!$A$10:$A$25,'Rango etareo'!$B$10:$B$25,,-1)</f>
        <v>46 - 55</v>
      </c>
      <c r="M211" s="3" t="s">
        <v>22</v>
      </c>
      <c r="N211" s="3" t="str">
        <f>IF(crimenes_cordoba_ampliado[[#This Row],[Género Delincuente]]="Femenino","🚺","🚹")</f>
        <v>🚹</v>
      </c>
      <c r="O211">
        <v>4</v>
      </c>
      <c r="P211" s="1">
        <v>24544</v>
      </c>
      <c r="Q211" s="7">
        <f>INT((crimenes_cordoba_ampliado[[#This Row],[Fecha]]-crimenes_cordoba_ampliado[[#This Row],[Fecha Nac. Víctima]])/365)</f>
        <v>52</v>
      </c>
      <c r="R211" s="7" t="str">
        <f>_xlfn.XLOOKUP(crimenes_cordoba_ampliado[[#This Row],[EDAD VICTIMA]],'Rango etareo'!$A$2:$A$25,'Rango etareo'!$B$2:$B$25,,-1)</f>
        <v>46 - 55</v>
      </c>
      <c r="S211" s="3" t="s">
        <v>22</v>
      </c>
      <c r="T211" s="3" t="str">
        <f>IF(crimenes_cordoba_ampliado[[#This Row],[Género Víctima]]="Masculino","🚹","🚺")</f>
        <v>🚹</v>
      </c>
      <c r="U211">
        <v>2</v>
      </c>
      <c r="V211" s="3" t="s">
        <v>23</v>
      </c>
      <c r="W211" s="3" t="s">
        <v>24</v>
      </c>
      <c r="X211" s="3" t="s">
        <v>24</v>
      </c>
      <c r="Y211" s="3" t="s">
        <v>86</v>
      </c>
      <c r="Z211" s="3" t="s">
        <v>23</v>
      </c>
      <c r="AA211" s="3" t="s">
        <v>25</v>
      </c>
      <c r="AB211" s="3" t="str">
        <f>IF(crimenes_cordoba_ampliado[[#This Row],[Hubo Arresto]]="Sí", "Resuelto", "Pendiente")</f>
        <v>Resuelto</v>
      </c>
      <c r="AC211" s="3" t="s">
        <v>123</v>
      </c>
      <c r="AD211" s="3"/>
    </row>
    <row r="212" spans="1:30" x14ac:dyDescent="0.25">
      <c r="A212">
        <v>908</v>
      </c>
      <c r="B212" s="1">
        <v>42871</v>
      </c>
      <c r="C212" s="33">
        <f t="shared" si="6"/>
        <v>42871</v>
      </c>
      <c r="D212" s="34">
        <f t="shared" si="7"/>
        <v>42871</v>
      </c>
      <c r="E212" s="35" t="s">
        <v>1453</v>
      </c>
      <c r="F212" s="2">
        <v>0.74236111111111114</v>
      </c>
      <c r="G212" s="3" t="s">
        <v>31</v>
      </c>
      <c r="H212" s="3" t="s">
        <v>40</v>
      </c>
      <c r="I212" s="25" t="str">
        <f>VLOOKUP(H212,Tabla5[#All],4,FALSE)</f>
        <v>-31,334500143441, -64,2460773260564</v>
      </c>
      <c r="J212" s="1">
        <v>30443</v>
      </c>
      <c r="K212" s="7">
        <f>INT((crimenes_cordoba_ampliado[[#This Row],[Fecha]]-crimenes_cordoba_ampliado[[#This Row],[Fecha Nac. Delincuente]])/365)</f>
        <v>34</v>
      </c>
      <c r="L212" s="7" t="str">
        <f>_xlfn.XLOOKUP(crimenes_cordoba_ampliado[[#This Row],[EDAD DELINCUENTE]],'Rango etareo'!$A$10:$A$25,'Rango etareo'!$B$10:$B$25,,-1)</f>
        <v>26 - 35</v>
      </c>
      <c r="M212" s="3" t="s">
        <v>21</v>
      </c>
      <c r="N212" s="3" t="str">
        <f>IF(crimenes_cordoba_ampliado[[#This Row],[Género Delincuente]]="Femenino","🚺","🚹")</f>
        <v>🚺</v>
      </c>
      <c r="O212">
        <v>4</v>
      </c>
      <c r="P212" s="1">
        <v>39173</v>
      </c>
      <c r="Q212" s="7">
        <f>INT((crimenes_cordoba_ampliado[[#This Row],[Fecha]]-crimenes_cordoba_ampliado[[#This Row],[Fecha Nac. Víctima]])/365)</f>
        <v>10</v>
      </c>
      <c r="R212" s="7" t="str">
        <f>_xlfn.XLOOKUP(crimenes_cordoba_ampliado[[#This Row],[EDAD VICTIMA]],'Rango etareo'!$A$2:$A$25,'Rango etareo'!$B$2:$B$25,,-1)</f>
        <v>&lt;=17</v>
      </c>
      <c r="S212" s="3" t="s">
        <v>21</v>
      </c>
      <c r="T212" s="3" t="str">
        <f>IF(crimenes_cordoba_ampliado[[#This Row],[Género Víctima]]="Masculino","🚹","🚺")</f>
        <v>🚺</v>
      </c>
      <c r="U212">
        <v>2</v>
      </c>
      <c r="V212" s="3" t="s">
        <v>25</v>
      </c>
      <c r="W212" s="3" t="s">
        <v>24</v>
      </c>
      <c r="X212" s="3" t="s">
        <v>24</v>
      </c>
      <c r="Y212" s="3" t="s">
        <v>46</v>
      </c>
      <c r="Z212" s="3" t="s">
        <v>25</v>
      </c>
      <c r="AA212" s="3" t="s">
        <v>25</v>
      </c>
      <c r="AB212" s="3" t="str">
        <f>IF(crimenes_cordoba_ampliado[[#This Row],[Hubo Arresto]]="Sí", "Resuelto", "Pendiente")</f>
        <v>Pendiente</v>
      </c>
      <c r="AC212" s="3" t="s">
        <v>24</v>
      </c>
      <c r="AD212" s="3"/>
    </row>
    <row r="213" spans="1:30" x14ac:dyDescent="0.25">
      <c r="A213">
        <v>206</v>
      </c>
      <c r="B213" s="1">
        <v>42258</v>
      </c>
      <c r="C213" s="33">
        <f t="shared" si="6"/>
        <v>42258</v>
      </c>
      <c r="D213" s="34">
        <f t="shared" si="7"/>
        <v>42258</v>
      </c>
      <c r="E213" s="35" t="s">
        <v>1455</v>
      </c>
      <c r="F213" s="2">
        <v>0.77152777777777781</v>
      </c>
      <c r="G213" s="3" t="s">
        <v>51</v>
      </c>
      <c r="H213" s="3" t="s">
        <v>60</v>
      </c>
      <c r="I213" s="25" t="str">
        <f>VLOOKUP(H213,Tabla5[#All],4,FALSE)</f>
        <v>-31,4076397196409, -64,2020170430678</v>
      </c>
      <c r="J213" s="1">
        <v>20374</v>
      </c>
      <c r="K213" s="7">
        <f>INT((crimenes_cordoba_ampliado[[#This Row],[Fecha]]-crimenes_cordoba_ampliado[[#This Row],[Fecha Nac. Delincuente]])/365)</f>
        <v>59</v>
      </c>
      <c r="L213" s="7" t="str">
        <f>_xlfn.XLOOKUP(crimenes_cordoba_ampliado[[#This Row],[EDAD DELINCUENTE]],'Rango etareo'!$A$10:$A$25,'Rango etareo'!$B$10:$B$25,,-1)</f>
        <v>56 - 65</v>
      </c>
      <c r="M213" s="3" t="s">
        <v>22</v>
      </c>
      <c r="N213" s="3" t="str">
        <f>IF(crimenes_cordoba_ampliado[[#This Row],[Género Delincuente]]="Femenino","🚺","🚹")</f>
        <v>🚹</v>
      </c>
      <c r="O213">
        <v>4</v>
      </c>
      <c r="P213" s="1">
        <v>18940</v>
      </c>
      <c r="Q213" s="7">
        <f>INT((crimenes_cordoba_ampliado[[#This Row],[Fecha]]-crimenes_cordoba_ampliado[[#This Row],[Fecha Nac. Víctima]])/365)</f>
        <v>63</v>
      </c>
      <c r="R213" s="7" t="str">
        <f>_xlfn.XLOOKUP(crimenes_cordoba_ampliado[[#This Row],[EDAD VICTIMA]],'Rango etareo'!$A$2:$A$25,'Rango etareo'!$B$2:$B$25,,-1)</f>
        <v>56 - 65</v>
      </c>
      <c r="S213" s="3" t="s">
        <v>21</v>
      </c>
      <c r="T213" s="3" t="str">
        <f>IF(crimenes_cordoba_ampliado[[#This Row],[Género Víctima]]="Masculino","🚹","🚺")</f>
        <v>🚺</v>
      </c>
      <c r="U213">
        <v>1</v>
      </c>
      <c r="V213" s="3" t="s">
        <v>23</v>
      </c>
      <c r="W213" s="3" t="s">
        <v>71</v>
      </c>
      <c r="X213" s="3" t="s">
        <v>29</v>
      </c>
      <c r="Y213" s="3" t="s">
        <v>24</v>
      </c>
      <c r="Z213" s="3" t="s">
        <v>25</v>
      </c>
      <c r="AA213" s="3" t="s">
        <v>25</v>
      </c>
      <c r="AB213" s="3" t="str">
        <f>IF(crimenes_cordoba_ampliado[[#This Row],[Hubo Arresto]]="Sí", "Resuelto", "Pendiente")</f>
        <v>Resuelto</v>
      </c>
      <c r="AC213" s="3" t="s">
        <v>164</v>
      </c>
      <c r="AD213" s="3"/>
    </row>
    <row r="214" spans="1:30" x14ac:dyDescent="0.25">
      <c r="A214">
        <v>207</v>
      </c>
      <c r="B214" s="1">
        <v>44805</v>
      </c>
      <c r="C214" s="33">
        <f t="shared" si="6"/>
        <v>44805</v>
      </c>
      <c r="D214" s="34">
        <f t="shared" si="7"/>
        <v>44805</v>
      </c>
      <c r="E214" s="35" t="s">
        <v>1454</v>
      </c>
      <c r="F214" s="2">
        <v>0.98333333333333328</v>
      </c>
      <c r="G214" s="3" t="s">
        <v>51</v>
      </c>
      <c r="H214" s="3" t="s">
        <v>55</v>
      </c>
      <c r="I214" s="25" t="str">
        <f>VLOOKUP(H214,Tabla5[#All],4,FALSE)</f>
        <v>-31,4015892433235, -64,160442876477</v>
      </c>
      <c r="J214" s="1">
        <v>36904</v>
      </c>
      <c r="K214" s="7">
        <f>INT((crimenes_cordoba_ampliado[[#This Row],[Fecha]]-crimenes_cordoba_ampliado[[#This Row],[Fecha Nac. Delincuente]])/365)</f>
        <v>21</v>
      </c>
      <c r="L214" s="7" t="str">
        <f>_xlfn.XLOOKUP(crimenes_cordoba_ampliado[[#This Row],[EDAD DELINCUENTE]],'Rango etareo'!$A$10:$A$25,'Rango etareo'!$B$10:$B$25,,-1)</f>
        <v>18 - 25</v>
      </c>
      <c r="M214" s="3" t="s">
        <v>22</v>
      </c>
      <c r="N214" s="3" t="str">
        <f>IF(crimenes_cordoba_ampliado[[#This Row],[Género Delincuente]]="Femenino","🚺","🚹")</f>
        <v>🚹</v>
      </c>
      <c r="O214">
        <v>4</v>
      </c>
      <c r="P214" s="1">
        <v>24333</v>
      </c>
      <c r="Q214" s="7">
        <f>INT((crimenes_cordoba_ampliado[[#This Row],[Fecha]]-crimenes_cordoba_ampliado[[#This Row],[Fecha Nac. Víctima]])/365)</f>
        <v>56</v>
      </c>
      <c r="R214" s="7" t="str">
        <f>_xlfn.XLOOKUP(crimenes_cordoba_ampliado[[#This Row],[EDAD VICTIMA]],'Rango etareo'!$A$2:$A$25,'Rango etareo'!$B$2:$B$25,,-1)</f>
        <v>56 - 65</v>
      </c>
      <c r="S214" s="3" t="s">
        <v>22</v>
      </c>
      <c r="T214" s="3" t="str">
        <f>IF(crimenes_cordoba_ampliado[[#This Row],[Género Víctima]]="Masculino","🚹","🚺")</f>
        <v>🚹</v>
      </c>
      <c r="U214">
        <v>1</v>
      </c>
      <c r="V214" s="3" t="s">
        <v>23</v>
      </c>
      <c r="W214" s="3" t="s">
        <v>63</v>
      </c>
      <c r="X214" s="3" t="s">
        <v>50</v>
      </c>
      <c r="Y214" s="3" t="s">
        <v>24</v>
      </c>
      <c r="Z214" s="3" t="s">
        <v>23</v>
      </c>
      <c r="AA214" s="3" t="s">
        <v>25</v>
      </c>
      <c r="AB214" s="3" t="str">
        <f>IF(crimenes_cordoba_ampliado[[#This Row],[Hubo Arresto]]="Sí", "Resuelto", "Pendiente")</f>
        <v>Resuelto</v>
      </c>
      <c r="AC214" s="3" t="s">
        <v>165</v>
      </c>
      <c r="AD214" s="3"/>
    </row>
    <row r="215" spans="1:30" x14ac:dyDescent="0.25">
      <c r="A215">
        <v>209</v>
      </c>
      <c r="B215" s="1">
        <v>42214</v>
      </c>
      <c r="C215" s="33">
        <f t="shared" si="6"/>
        <v>42214</v>
      </c>
      <c r="D215" s="34">
        <f t="shared" si="7"/>
        <v>42214</v>
      </c>
      <c r="E215" s="35" t="s">
        <v>1450</v>
      </c>
      <c r="F215" s="2">
        <v>0.41249999999999998</v>
      </c>
      <c r="G215" s="3" t="s">
        <v>51</v>
      </c>
      <c r="H215" s="3" t="s">
        <v>49</v>
      </c>
      <c r="I215" s="25" t="str">
        <f>VLOOKUP(H215,Tabla5[#All],4,FALSE)</f>
        <v>-31,4506257494184, -64,1733054344705</v>
      </c>
      <c r="J215" s="1">
        <v>38846</v>
      </c>
      <c r="K215" s="7">
        <f>INT((crimenes_cordoba_ampliado[[#This Row],[Fecha]]-crimenes_cordoba_ampliado[[#This Row],[Fecha Nac. Delincuente]])/365)</f>
        <v>9</v>
      </c>
      <c r="L215" s="7" t="str">
        <f>_xlfn.XLOOKUP(crimenes_cordoba_ampliado[[#This Row],[EDAD DELINCUENTE]],'Rango etareo'!$A$10:$A$25,'Rango etareo'!$B$10:$B$25,,-1)</f>
        <v>&lt;=17</v>
      </c>
      <c r="M215" s="3" t="s">
        <v>21</v>
      </c>
      <c r="N215" s="3" t="str">
        <f>IF(crimenes_cordoba_ampliado[[#This Row],[Género Delincuente]]="Femenino","🚺","🚹")</f>
        <v>🚺</v>
      </c>
      <c r="O215">
        <v>2</v>
      </c>
      <c r="P215" s="1">
        <v>30146</v>
      </c>
      <c r="Q215" s="7">
        <f>INT((crimenes_cordoba_ampliado[[#This Row],[Fecha]]-crimenes_cordoba_ampliado[[#This Row],[Fecha Nac. Víctima]])/365)</f>
        <v>33</v>
      </c>
      <c r="R215" s="7" t="str">
        <f>_xlfn.XLOOKUP(crimenes_cordoba_ampliado[[#This Row],[EDAD VICTIMA]],'Rango etareo'!$A$2:$A$25,'Rango etareo'!$B$2:$B$25,,-1)</f>
        <v>26 - 35</v>
      </c>
      <c r="S215" s="3" t="s">
        <v>21</v>
      </c>
      <c r="T215" s="3" t="str">
        <f>IF(crimenes_cordoba_ampliado[[#This Row],[Género Víctima]]="Masculino","🚹","🚺")</f>
        <v>🚺</v>
      </c>
      <c r="U215">
        <v>1</v>
      </c>
      <c r="V215" s="3" t="s">
        <v>23</v>
      </c>
      <c r="W215" s="3" t="s">
        <v>24</v>
      </c>
      <c r="X215" s="3" t="s">
        <v>24</v>
      </c>
      <c r="Y215" s="3" t="s">
        <v>46</v>
      </c>
      <c r="Z215" s="3" t="s">
        <v>25</v>
      </c>
      <c r="AA215" s="3" t="s">
        <v>23</v>
      </c>
      <c r="AB215" s="3" t="str">
        <f>IF(crimenes_cordoba_ampliado[[#This Row],[Hubo Arresto]]="Sí", "Resuelto", "Pendiente")</f>
        <v>Resuelto</v>
      </c>
      <c r="AC215" s="3" t="s">
        <v>166</v>
      </c>
      <c r="AD215" s="3"/>
    </row>
    <row r="216" spans="1:30" x14ac:dyDescent="0.25">
      <c r="A216">
        <v>36</v>
      </c>
      <c r="B216" s="1">
        <v>42880</v>
      </c>
      <c r="C216" s="33">
        <f t="shared" si="6"/>
        <v>42880</v>
      </c>
      <c r="D216" s="34">
        <f t="shared" si="7"/>
        <v>42880</v>
      </c>
      <c r="E216" s="35" t="s">
        <v>1454</v>
      </c>
      <c r="F216" s="2">
        <v>0.36944444444444446</v>
      </c>
      <c r="G216" s="3" t="s">
        <v>54</v>
      </c>
      <c r="H216" s="3" t="s">
        <v>52</v>
      </c>
      <c r="I216" s="25" t="str">
        <f>VLOOKUP(H216,Tabla5[#All],4,FALSE)</f>
        <v>-31,3477902896523, -64,2644406169297</v>
      </c>
      <c r="J216" s="1">
        <v>36702</v>
      </c>
      <c r="K216" s="7">
        <f>INT((crimenes_cordoba_ampliado[[#This Row],[Fecha]]-crimenes_cordoba_ampliado[[#This Row],[Fecha Nac. Delincuente]])/365)</f>
        <v>16</v>
      </c>
      <c r="L216" s="7" t="str">
        <f>_xlfn.XLOOKUP(crimenes_cordoba_ampliado[[#This Row],[EDAD DELINCUENTE]],'Rango etareo'!$A$10:$A$25,'Rango etareo'!$B$10:$B$25,,-1)</f>
        <v>&lt;=17</v>
      </c>
      <c r="M216" s="3" t="s">
        <v>21</v>
      </c>
      <c r="N216" s="3" t="str">
        <f>IF(crimenes_cordoba_ampliado[[#This Row],[Género Delincuente]]="Femenino","🚺","🚹")</f>
        <v>🚺</v>
      </c>
      <c r="O216">
        <v>3</v>
      </c>
      <c r="P216" s="1">
        <v>14655</v>
      </c>
      <c r="Q216" s="7">
        <f>INT((crimenes_cordoba_ampliado[[#This Row],[Fecha]]-crimenes_cordoba_ampliado[[#This Row],[Fecha Nac. Víctima]])/365)</f>
        <v>77</v>
      </c>
      <c r="R216" s="7" t="str">
        <f>_xlfn.XLOOKUP(crimenes_cordoba_ampliado[[#This Row],[EDAD VICTIMA]],'Rango etareo'!$A$2:$A$25,'Rango etareo'!$B$2:$B$25,,-1)</f>
        <v>&gt;65</v>
      </c>
      <c r="S216" s="3" t="s">
        <v>21</v>
      </c>
      <c r="T216" s="3" t="str">
        <f>IF(crimenes_cordoba_ampliado[[#This Row],[Género Víctima]]="Masculino","🚹","🚺")</f>
        <v>🚺</v>
      </c>
      <c r="U216">
        <v>2</v>
      </c>
      <c r="V216" s="3" t="s">
        <v>25</v>
      </c>
      <c r="W216" s="3" t="s">
        <v>24</v>
      </c>
      <c r="X216" s="3" t="s">
        <v>24</v>
      </c>
      <c r="Y216" s="3" t="s">
        <v>86</v>
      </c>
      <c r="Z216" s="3" t="s">
        <v>23</v>
      </c>
      <c r="AA216" s="3" t="s">
        <v>25</v>
      </c>
      <c r="AB216" s="3" t="str">
        <f>IF(crimenes_cordoba_ampliado[[#This Row],[Hubo Arresto]]="Sí", "Resuelto", "Pendiente")</f>
        <v>Pendiente</v>
      </c>
      <c r="AC216" s="3" t="s">
        <v>24</v>
      </c>
      <c r="AD216" s="3"/>
    </row>
    <row r="217" spans="1:30" x14ac:dyDescent="0.25">
      <c r="A217">
        <v>421</v>
      </c>
      <c r="B217" s="1">
        <v>42882</v>
      </c>
      <c r="C217" s="33">
        <f t="shared" si="6"/>
        <v>42882</v>
      </c>
      <c r="D217" s="34">
        <f t="shared" si="7"/>
        <v>42882</v>
      </c>
      <c r="E217" s="35" t="s">
        <v>1451</v>
      </c>
      <c r="F217" s="2">
        <v>0.85972222222222228</v>
      </c>
      <c r="G217" s="3" t="s">
        <v>35</v>
      </c>
      <c r="H217" s="3" t="s">
        <v>49</v>
      </c>
      <c r="I217" s="25" t="str">
        <f>VLOOKUP(H217,Tabla5[#All],4,FALSE)</f>
        <v>-31,4506257494184, -64,1733054344705</v>
      </c>
      <c r="J217" s="1">
        <v>32423</v>
      </c>
      <c r="K217" s="7">
        <f>INT((crimenes_cordoba_ampliado[[#This Row],[Fecha]]-crimenes_cordoba_ampliado[[#This Row],[Fecha Nac. Delincuente]])/365)</f>
        <v>28</v>
      </c>
      <c r="L217" s="7" t="str">
        <f>_xlfn.XLOOKUP(crimenes_cordoba_ampliado[[#This Row],[EDAD DELINCUENTE]],'Rango etareo'!$A$10:$A$25,'Rango etareo'!$B$10:$B$25,,-1)</f>
        <v>26 - 35</v>
      </c>
      <c r="M217" s="3" t="s">
        <v>21</v>
      </c>
      <c r="N217" s="3" t="str">
        <f>IF(crimenes_cordoba_ampliado[[#This Row],[Género Delincuente]]="Femenino","🚺","🚹")</f>
        <v>🚺</v>
      </c>
      <c r="O217">
        <v>5</v>
      </c>
      <c r="P217" s="1">
        <v>19427</v>
      </c>
      <c r="Q217" s="7">
        <f>INT((crimenes_cordoba_ampliado[[#This Row],[Fecha]]-crimenes_cordoba_ampliado[[#This Row],[Fecha Nac. Víctima]])/365)</f>
        <v>64</v>
      </c>
      <c r="R217" s="7" t="str">
        <f>_xlfn.XLOOKUP(crimenes_cordoba_ampliado[[#This Row],[EDAD VICTIMA]],'Rango etareo'!$A$2:$A$25,'Rango etareo'!$B$2:$B$25,,-1)</f>
        <v>56 - 65</v>
      </c>
      <c r="S217" s="3" t="s">
        <v>21</v>
      </c>
      <c r="T217" s="3" t="str">
        <f>IF(crimenes_cordoba_ampliado[[#This Row],[Género Víctima]]="Masculino","🚹","🚺")</f>
        <v>🚺</v>
      </c>
      <c r="U217">
        <v>1</v>
      </c>
      <c r="V217" s="3" t="s">
        <v>25</v>
      </c>
      <c r="W217" s="3" t="s">
        <v>24</v>
      </c>
      <c r="X217" s="3" t="s">
        <v>24</v>
      </c>
      <c r="Y217" s="3" t="s">
        <v>24</v>
      </c>
      <c r="Z217" s="3" t="s">
        <v>25</v>
      </c>
      <c r="AA217" s="3" t="s">
        <v>23</v>
      </c>
      <c r="AB217" s="3" t="str">
        <f>IF(crimenes_cordoba_ampliado[[#This Row],[Hubo Arresto]]="Sí", "Resuelto", "Pendiente")</f>
        <v>Pendiente</v>
      </c>
      <c r="AC217" s="3" t="s">
        <v>24</v>
      </c>
      <c r="AD217" s="3"/>
    </row>
    <row r="218" spans="1:30" x14ac:dyDescent="0.25">
      <c r="A218">
        <v>210</v>
      </c>
      <c r="B218" s="1">
        <v>45648</v>
      </c>
      <c r="C218" s="33">
        <f t="shared" si="6"/>
        <v>45648</v>
      </c>
      <c r="D218" s="34">
        <f t="shared" si="7"/>
        <v>45648</v>
      </c>
      <c r="E218" s="35" t="s">
        <v>1449</v>
      </c>
      <c r="F218" s="2">
        <v>0.7055555555555556</v>
      </c>
      <c r="G218" s="3" t="s">
        <v>27</v>
      </c>
      <c r="H218" s="3" t="s">
        <v>20</v>
      </c>
      <c r="I218" s="25" t="str">
        <f>VLOOKUP(H218,Tabla5[#All],4,FALSE)</f>
        <v>-31,4800162965848, -64,2094200976892</v>
      </c>
      <c r="J218" s="1">
        <v>28779</v>
      </c>
      <c r="K218" s="7">
        <f>INT((crimenes_cordoba_ampliado[[#This Row],[Fecha]]-crimenes_cordoba_ampliado[[#This Row],[Fecha Nac. Delincuente]])/365)</f>
        <v>46</v>
      </c>
      <c r="L218" s="7" t="str">
        <f>_xlfn.XLOOKUP(crimenes_cordoba_ampliado[[#This Row],[EDAD DELINCUENTE]],'Rango etareo'!$A$10:$A$25,'Rango etareo'!$B$10:$B$25,,-1)</f>
        <v>46 - 55</v>
      </c>
      <c r="M218" s="3" t="s">
        <v>22</v>
      </c>
      <c r="N218" s="3" t="str">
        <f>IF(crimenes_cordoba_ampliado[[#This Row],[Género Delincuente]]="Femenino","🚺","🚹")</f>
        <v>🚹</v>
      </c>
      <c r="O218">
        <v>2</v>
      </c>
      <c r="P218" s="1">
        <v>36754</v>
      </c>
      <c r="Q218" s="7">
        <f>INT((crimenes_cordoba_ampliado[[#This Row],[Fecha]]-crimenes_cordoba_ampliado[[#This Row],[Fecha Nac. Víctima]])/365)</f>
        <v>24</v>
      </c>
      <c r="R218" s="7" t="str">
        <f>_xlfn.XLOOKUP(crimenes_cordoba_ampliado[[#This Row],[EDAD VICTIMA]],'Rango etareo'!$A$2:$A$25,'Rango etareo'!$B$2:$B$25,,-1)</f>
        <v>18 - 25</v>
      </c>
      <c r="S218" s="3" t="s">
        <v>22</v>
      </c>
      <c r="T218" s="3" t="str">
        <f>IF(crimenes_cordoba_ampliado[[#This Row],[Género Víctima]]="Masculino","🚹","🚺")</f>
        <v>🚹</v>
      </c>
      <c r="U218">
        <v>1</v>
      </c>
      <c r="V218" s="3" t="s">
        <v>23</v>
      </c>
      <c r="W218" s="3" t="s">
        <v>24</v>
      </c>
      <c r="X218" s="3" t="s">
        <v>24</v>
      </c>
      <c r="Y218" s="3" t="s">
        <v>89</v>
      </c>
      <c r="Z218" s="3" t="s">
        <v>25</v>
      </c>
      <c r="AA218" s="3" t="s">
        <v>23</v>
      </c>
      <c r="AB218" s="3" t="str">
        <f>IF(crimenes_cordoba_ampliado[[#This Row],[Hubo Arresto]]="Sí", "Resuelto", "Pendiente")</f>
        <v>Resuelto</v>
      </c>
      <c r="AC218" s="3" t="s">
        <v>167</v>
      </c>
      <c r="AD218" s="3"/>
    </row>
    <row r="219" spans="1:30" x14ac:dyDescent="0.25">
      <c r="A219">
        <v>212</v>
      </c>
      <c r="B219" s="1">
        <v>42988</v>
      </c>
      <c r="C219" s="33">
        <f t="shared" si="6"/>
        <v>42988</v>
      </c>
      <c r="D219" s="34">
        <f t="shared" si="7"/>
        <v>42988</v>
      </c>
      <c r="E219" s="35" t="s">
        <v>1449</v>
      </c>
      <c r="F219" s="2">
        <v>8.4722222222222227E-2</v>
      </c>
      <c r="G219" s="3" t="s">
        <v>79</v>
      </c>
      <c r="H219" s="3" t="s">
        <v>20</v>
      </c>
      <c r="I219" s="25" t="str">
        <f>VLOOKUP(H219,Tabla5[#All],4,FALSE)</f>
        <v>-31,4800162965848, -64,2094200976892</v>
      </c>
      <c r="J219" s="1">
        <v>26234</v>
      </c>
      <c r="K219" s="7">
        <f>INT((crimenes_cordoba_ampliado[[#This Row],[Fecha]]-crimenes_cordoba_ampliado[[#This Row],[Fecha Nac. Delincuente]])/365)</f>
        <v>45</v>
      </c>
      <c r="L219" s="7" t="str">
        <f>_xlfn.XLOOKUP(crimenes_cordoba_ampliado[[#This Row],[EDAD DELINCUENTE]],'Rango etareo'!$A$10:$A$25,'Rango etareo'!$B$10:$B$25,,-1)</f>
        <v>36 - 45</v>
      </c>
      <c r="M219" s="3" t="s">
        <v>21</v>
      </c>
      <c r="N219" s="3" t="str">
        <f>IF(crimenes_cordoba_ampliado[[#This Row],[Género Delincuente]]="Femenino","🚺","🚹")</f>
        <v>🚺</v>
      </c>
      <c r="O219">
        <v>2</v>
      </c>
      <c r="P219" s="1">
        <v>25193</v>
      </c>
      <c r="Q219" s="7">
        <f>INT((crimenes_cordoba_ampliado[[#This Row],[Fecha]]-crimenes_cordoba_ampliado[[#This Row],[Fecha Nac. Víctima]])/365)</f>
        <v>48</v>
      </c>
      <c r="R219" s="7" t="str">
        <f>_xlfn.XLOOKUP(crimenes_cordoba_ampliado[[#This Row],[EDAD VICTIMA]],'Rango etareo'!$A$2:$A$25,'Rango etareo'!$B$2:$B$25,,-1)</f>
        <v>46 - 55</v>
      </c>
      <c r="S219" s="3" t="s">
        <v>21</v>
      </c>
      <c r="T219" s="3" t="str">
        <f>IF(crimenes_cordoba_ampliado[[#This Row],[Género Víctima]]="Masculino","🚹","🚺")</f>
        <v>🚺</v>
      </c>
      <c r="U219">
        <v>3</v>
      </c>
      <c r="V219" s="3" t="s">
        <v>23</v>
      </c>
      <c r="W219" s="3" t="s">
        <v>24</v>
      </c>
      <c r="X219" s="3" t="s">
        <v>29</v>
      </c>
      <c r="Y219" s="3" t="s">
        <v>24</v>
      </c>
      <c r="Z219" s="3" t="s">
        <v>23</v>
      </c>
      <c r="AA219" s="3" t="s">
        <v>25</v>
      </c>
      <c r="AB219" s="3" t="str">
        <f>IF(crimenes_cordoba_ampliado[[#This Row],[Hubo Arresto]]="Sí", "Resuelto", "Pendiente")</f>
        <v>Resuelto</v>
      </c>
      <c r="AC219" s="3" t="s">
        <v>168</v>
      </c>
      <c r="AD219" s="3"/>
    </row>
    <row r="220" spans="1:30" x14ac:dyDescent="0.25">
      <c r="A220">
        <v>215</v>
      </c>
      <c r="B220" s="1">
        <v>45148</v>
      </c>
      <c r="C220" s="33">
        <f t="shared" si="6"/>
        <v>45148</v>
      </c>
      <c r="D220" s="34">
        <f t="shared" si="7"/>
        <v>45148</v>
      </c>
      <c r="E220" s="35" t="s">
        <v>1454</v>
      </c>
      <c r="F220" s="2">
        <v>0.82013888888888886</v>
      </c>
      <c r="G220" s="3" t="s">
        <v>31</v>
      </c>
      <c r="H220" s="3" t="s">
        <v>52</v>
      </c>
      <c r="I220" s="25" t="str">
        <f>VLOOKUP(H220,Tabla5[#All],4,FALSE)</f>
        <v>-31,3477902896523, -64,2644406169297</v>
      </c>
      <c r="J220" s="1">
        <v>36751</v>
      </c>
      <c r="K220" s="7">
        <f>INT((crimenes_cordoba_ampliado[[#This Row],[Fecha]]-crimenes_cordoba_ampliado[[#This Row],[Fecha Nac. Delincuente]])/365)</f>
        <v>23</v>
      </c>
      <c r="L220" s="7" t="str">
        <f>_xlfn.XLOOKUP(crimenes_cordoba_ampliado[[#This Row],[EDAD DELINCUENTE]],'Rango etareo'!$A$10:$A$25,'Rango etareo'!$B$10:$B$25,,-1)</f>
        <v>18 - 25</v>
      </c>
      <c r="M220" s="3" t="s">
        <v>21</v>
      </c>
      <c r="N220" s="3" t="str">
        <f>IF(crimenes_cordoba_ampliado[[#This Row],[Género Delincuente]]="Femenino","🚺","🚹")</f>
        <v>🚺</v>
      </c>
      <c r="O220">
        <v>3</v>
      </c>
      <c r="P220" s="1">
        <v>26888</v>
      </c>
      <c r="Q220" s="7">
        <f>INT((crimenes_cordoba_ampliado[[#This Row],[Fecha]]-crimenes_cordoba_ampliado[[#This Row],[Fecha Nac. Víctima]])/365)</f>
        <v>50</v>
      </c>
      <c r="R220" s="7" t="str">
        <f>_xlfn.XLOOKUP(crimenes_cordoba_ampliado[[#This Row],[EDAD VICTIMA]],'Rango etareo'!$A$2:$A$25,'Rango etareo'!$B$2:$B$25,,-1)</f>
        <v>46 - 55</v>
      </c>
      <c r="S220" s="3" t="s">
        <v>22</v>
      </c>
      <c r="T220" s="3" t="str">
        <f>IF(crimenes_cordoba_ampliado[[#This Row],[Género Víctima]]="Masculino","🚹","🚺")</f>
        <v>🚹</v>
      </c>
      <c r="U220">
        <v>1</v>
      </c>
      <c r="V220" s="3" t="s">
        <v>23</v>
      </c>
      <c r="W220" s="3" t="s">
        <v>71</v>
      </c>
      <c r="X220" s="3" t="s">
        <v>24</v>
      </c>
      <c r="Y220" s="3" t="s">
        <v>99</v>
      </c>
      <c r="Z220" s="3" t="s">
        <v>25</v>
      </c>
      <c r="AA220" s="3" t="s">
        <v>25</v>
      </c>
      <c r="AB220" s="3" t="str">
        <f>IF(crimenes_cordoba_ampliado[[#This Row],[Hubo Arresto]]="Sí", "Resuelto", "Pendiente")</f>
        <v>Resuelto</v>
      </c>
      <c r="AC220" s="3" t="s">
        <v>130</v>
      </c>
      <c r="AD220" s="3"/>
    </row>
    <row r="221" spans="1:30" x14ac:dyDescent="0.25">
      <c r="A221">
        <v>807</v>
      </c>
      <c r="B221" s="1">
        <v>42907</v>
      </c>
      <c r="C221" s="33">
        <f t="shared" si="6"/>
        <v>42907</v>
      </c>
      <c r="D221" s="34">
        <f t="shared" si="7"/>
        <v>42907</v>
      </c>
      <c r="E221" s="35" t="s">
        <v>1450</v>
      </c>
      <c r="F221" s="2">
        <v>0.69513888888888886</v>
      </c>
      <c r="G221" s="3" t="s">
        <v>42</v>
      </c>
      <c r="H221" s="3" t="s">
        <v>62</v>
      </c>
      <c r="I221" s="25" t="str">
        <f>VLOOKUP(H221,Tabla5[#All],4,FALSE)</f>
        <v>-31,3909520937826, -64,1836424491715</v>
      </c>
      <c r="J221" s="1">
        <v>21322</v>
      </c>
      <c r="K221" s="7">
        <f>INT((crimenes_cordoba_ampliado[[#This Row],[Fecha]]-crimenes_cordoba_ampliado[[#This Row],[Fecha Nac. Delincuente]])/365)</f>
        <v>59</v>
      </c>
      <c r="L221" s="7" t="str">
        <f>_xlfn.XLOOKUP(crimenes_cordoba_ampliado[[#This Row],[EDAD DELINCUENTE]],'Rango etareo'!$A$10:$A$25,'Rango etareo'!$B$10:$B$25,,-1)</f>
        <v>56 - 65</v>
      </c>
      <c r="M221" s="3" t="s">
        <v>21</v>
      </c>
      <c r="N221" s="3" t="str">
        <f>IF(crimenes_cordoba_ampliado[[#This Row],[Género Delincuente]]="Femenino","🚺","🚹")</f>
        <v>🚺</v>
      </c>
      <c r="O221">
        <v>2</v>
      </c>
      <c r="P221" s="1">
        <v>23173</v>
      </c>
      <c r="Q221" s="7">
        <f>INT((crimenes_cordoba_ampliado[[#This Row],[Fecha]]-crimenes_cordoba_ampliado[[#This Row],[Fecha Nac. Víctima]])/365)</f>
        <v>54</v>
      </c>
      <c r="R221" s="7" t="str">
        <f>_xlfn.XLOOKUP(crimenes_cordoba_ampliado[[#This Row],[EDAD VICTIMA]],'Rango etareo'!$A$2:$A$25,'Rango etareo'!$B$2:$B$25,,-1)</f>
        <v>46 - 55</v>
      </c>
      <c r="S221" s="3" t="s">
        <v>22</v>
      </c>
      <c r="T221" s="3" t="str">
        <f>IF(crimenes_cordoba_ampliado[[#This Row],[Género Víctima]]="Masculino","🚹","🚺")</f>
        <v>🚹</v>
      </c>
      <c r="U221">
        <v>1</v>
      </c>
      <c r="V221" s="3" t="s">
        <v>25</v>
      </c>
      <c r="W221" s="3" t="s">
        <v>24</v>
      </c>
      <c r="X221" s="3" t="s">
        <v>24</v>
      </c>
      <c r="Y221" s="3" t="s">
        <v>43</v>
      </c>
      <c r="Z221" s="3" t="s">
        <v>23</v>
      </c>
      <c r="AA221" s="3" t="s">
        <v>25</v>
      </c>
      <c r="AB221" s="3" t="str">
        <f>IF(crimenes_cordoba_ampliado[[#This Row],[Hubo Arresto]]="Sí", "Resuelto", "Pendiente")</f>
        <v>Pendiente</v>
      </c>
      <c r="AC221" s="3" t="s">
        <v>24</v>
      </c>
      <c r="AD221" s="3"/>
    </row>
    <row r="222" spans="1:30" x14ac:dyDescent="0.25">
      <c r="A222">
        <v>218</v>
      </c>
      <c r="B222" s="1">
        <v>42197</v>
      </c>
      <c r="C222" s="33">
        <f t="shared" si="6"/>
        <v>42197</v>
      </c>
      <c r="D222" s="34">
        <f t="shared" si="7"/>
        <v>42197</v>
      </c>
      <c r="E222" s="35" t="s">
        <v>1449</v>
      </c>
      <c r="F222" s="2">
        <v>0.96319444444444446</v>
      </c>
      <c r="G222" s="3" t="s">
        <v>54</v>
      </c>
      <c r="H222" s="3" t="s">
        <v>32</v>
      </c>
      <c r="I222" s="25" t="str">
        <f>VLOOKUP(H222,Tabla5[#All],4,FALSE)</f>
        <v>-31,4148488101991, -64,1793406489438</v>
      </c>
      <c r="J222" s="1">
        <v>31853</v>
      </c>
      <c r="K222" s="7">
        <f>INT((crimenes_cordoba_ampliado[[#This Row],[Fecha]]-crimenes_cordoba_ampliado[[#This Row],[Fecha Nac. Delincuente]])/365)</f>
        <v>28</v>
      </c>
      <c r="L222" s="7" t="str">
        <f>_xlfn.XLOOKUP(crimenes_cordoba_ampliado[[#This Row],[EDAD DELINCUENTE]],'Rango etareo'!$A$10:$A$25,'Rango etareo'!$B$10:$B$25,,-1)</f>
        <v>26 - 35</v>
      </c>
      <c r="M222" s="3" t="s">
        <v>21</v>
      </c>
      <c r="N222" s="3" t="str">
        <f>IF(crimenes_cordoba_ampliado[[#This Row],[Género Delincuente]]="Femenino","🚺","🚹")</f>
        <v>🚺</v>
      </c>
      <c r="O222">
        <v>3</v>
      </c>
      <c r="P222" s="1">
        <v>35404</v>
      </c>
      <c r="Q222" s="7">
        <f>INT((crimenes_cordoba_ampliado[[#This Row],[Fecha]]-crimenes_cordoba_ampliado[[#This Row],[Fecha Nac. Víctima]])/365)</f>
        <v>18</v>
      </c>
      <c r="R222" s="7" t="str">
        <f>_xlfn.XLOOKUP(crimenes_cordoba_ampliado[[#This Row],[EDAD VICTIMA]],'Rango etareo'!$A$2:$A$25,'Rango etareo'!$B$2:$B$25,,-1)</f>
        <v>18 - 25</v>
      </c>
      <c r="S222" s="3" t="s">
        <v>21</v>
      </c>
      <c r="T222" s="3" t="str">
        <f>IF(crimenes_cordoba_ampliado[[#This Row],[Género Víctima]]="Masculino","🚹","🚺")</f>
        <v>🚺</v>
      </c>
      <c r="U222">
        <v>1</v>
      </c>
      <c r="V222" s="3" t="s">
        <v>23</v>
      </c>
      <c r="W222" s="3" t="s">
        <v>71</v>
      </c>
      <c r="X222" s="3" t="s">
        <v>24</v>
      </c>
      <c r="Y222" s="3" t="s">
        <v>64</v>
      </c>
      <c r="Z222" s="3" t="s">
        <v>23</v>
      </c>
      <c r="AA222" s="3" t="s">
        <v>23</v>
      </c>
      <c r="AB222" s="3" t="str">
        <f>IF(crimenes_cordoba_ampliado[[#This Row],[Hubo Arresto]]="Sí", "Resuelto", "Pendiente")</f>
        <v>Resuelto</v>
      </c>
      <c r="AC222" s="3" t="s">
        <v>169</v>
      </c>
      <c r="AD222" s="3"/>
    </row>
    <row r="223" spans="1:30" x14ac:dyDescent="0.25">
      <c r="A223">
        <v>343</v>
      </c>
      <c r="B223" s="1">
        <v>42914</v>
      </c>
      <c r="C223" s="33">
        <f t="shared" si="6"/>
        <v>42914</v>
      </c>
      <c r="D223" s="34">
        <f t="shared" si="7"/>
        <v>42914</v>
      </c>
      <c r="E223" s="35" t="s">
        <v>1450</v>
      </c>
      <c r="F223" s="2">
        <v>0.23680555555555555</v>
      </c>
      <c r="G223" s="3" t="s">
        <v>31</v>
      </c>
      <c r="H223" s="3" t="s">
        <v>62</v>
      </c>
      <c r="I223" s="25" t="str">
        <f>VLOOKUP(H223,Tabla5[#All],4,FALSE)</f>
        <v>-31,3909520937826, -64,1836424491715</v>
      </c>
      <c r="J223" s="1">
        <v>20085</v>
      </c>
      <c r="K223" s="7">
        <f>INT((crimenes_cordoba_ampliado[[#This Row],[Fecha]]-crimenes_cordoba_ampliado[[#This Row],[Fecha Nac. Delincuente]])/365)</f>
        <v>62</v>
      </c>
      <c r="L223" s="7" t="str">
        <f>_xlfn.XLOOKUP(crimenes_cordoba_ampliado[[#This Row],[EDAD DELINCUENTE]],'Rango etareo'!$A$10:$A$25,'Rango etareo'!$B$10:$B$25,,-1)</f>
        <v>56 - 65</v>
      </c>
      <c r="M223" s="3" t="s">
        <v>21</v>
      </c>
      <c r="N223" s="3" t="str">
        <f>IF(crimenes_cordoba_ampliado[[#This Row],[Género Delincuente]]="Femenino","🚺","🚹")</f>
        <v>🚺</v>
      </c>
      <c r="O223">
        <v>2</v>
      </c>
      <c r="P223" s="1">
        <v>26198</v>
      </c>
      <c r="Q223" s="7">
        <f>INT((crimenes_cordoba_ampliado[[#This Row],[Fecha]]-crimenes_cordoba_ampliado[[#This Row],[Fecha Nac. Víctima]])/365)</f>
        <v>45</v>
      </c>
      <c r="R223" s="7" t="str">
        <f>_xlfn.XLOOKUP(crimenes_cordoba_ampliado[[#This Row],[EDAD VICTIMA]],'Rango etareo'!$A$2:$A$25,'Rango etareo'!$B$2:$B$25,,-1)</f>
        <v>36 - 45</v>
      </c>
      <c r="S223" s="3" t="s">
        <v>21</v>
      </c>
      <c r="T223" s="3" t="str">
        <f>IF(crimenes_cordoba_ampliado[[#This Row],[Género Víctima]]="Masculino","🚹","🚺")</f>
        <v>🚺</v>
      </c>
      <c r="U223">
        <v>1</v>
      </c>
      <c r="V223" s="3" t="s">
        <v>25</v>
      </c>
      <c r="W223" s="3" t="s">
        <v>24</v>
      </c>
      <c r="X223" s="3" t="s">
        <v>24</v>
      </c>
      <c r="Y223" s="3" t="s">
        <v>24</v>
      </c>
      <c r="Z223" s="3" t="s">
        <v>23</v>
      </c>
      <c r="AA223" s="3" t="s">
        <v>25</v>
      </c>
      <c r="AB223" s="3" t="str">
        <f>IF(crimenes_cordoba_ampliado[[#This Row],[Hubo Arresto]]="Sí", "Resuelto", "Pendiente")</f>
        <v>Pendiente</v>
      </c>
      <c r="AC223" s="3" t="s">
        <v>24</v>
      </c>
      <c r="AD223" s="3"/>
    </row>
    <row r="224" spans="1:30" x14ac:dyDescent="0.25">
      <c r="A224">
        <v>220</v>
      </c>
      <c r="B224" s="1">
        <v>43246</v>
      </c>
      <c r="C224" s="33">
        <f t="shared" si="6"/>
        <v>43246</v>
      </c>
      <c r="D224" s="34">
        <f t="shared" si="7"/>
        <v>43246</v>
      </c>
      <c r="E224" s="35" t="s">
        <v>1451</v>
      </c>
      <c r="F224" s="2">
        <v>0.92291666666666672</v>
      </c>
      <c r="G224" s="3" t="s">
        <v>81</v>
      </c>
      <c r="H224" s="3" t="s">
        <v>62</v>
      </c>
      <c r="I224" s="25" t="str">
        <f>VLOOKUP(H224,Tabla5[#All],4,FALSE)</f>
        <v>-31,3909520937826, -64,1836424491715</v>
      </c>
      <c r="J224" s="1">
        <v>18948</v>
      </c>
      <c r="K224" s="7">
        <f>INT((crimenes_cordoba_ampliado[[#This Row],[Fecha]]-crimenes_cordoba_ampliado[[#This Row],[Fecha Nac. Delincuente]])/365)</f>
        <v>66</v>
      </c>
      <c r="L224" s="7" t="str">
        <f>_xlfn.XLOOKUP(crimenes_cordoba_ampliado[[#This Row],[EDAD DELINCUENTE]],'Rango etareo'!$A$10:$A$25,'Rango etareo'!$B$10:$B$25,,-1)</f>
        <v>&gt;65</v>
      </c>
      <c r="M224" s="3" t="s">
        <v>21</v>
      </c>
      <c r="N224" s="3" t="str">
        <f>IF(crimenes_cordoba_ampliado[[#This Row],[Género Delincuente]]="Femenino","🚺","🚹")</f>
        <v>🚺</v>
      </c>
      <c r="O224">
        <v>5</v>
      </c>
      <c r="P224" s="1">
        <v>15734</v>
      </c>
      <c r="Q224" s="7">
        <f>INT((crimenes_cordoba_ampliado[[#This Row],[Fecha]]-crimenes_cordoba_ampliado[[#This Row],[Fecha Nac. Víctima]])/365)</f>
        <v>75</v>
      </c>
      <c r="R224" s="7" t="str">
        <f>_xlfn.XLOOKUP(crimenes_cordoba_ampliado[[#This Row],[EDAD VICTIMA]],'Rango etareo'!$A$2:$A$25,'Rango etareo'!$B$2:$B$25,,-1)</f>
        <v>&gt;65</v>
      </c>
      <c r="S224" s="3" t="s">
        <v>21</v>
      </c>
      <c r="T224" s="3" t="str">
        <f>IF(crimenes_cordoba_ampliado[[#This Row],[Género Víctima]]="Masculino","🚹","🚺")</f>
        <v>🚺</v>
      </c>
      <c r="U224">
        <v>1</v>
      </c>
      <c r="V224" s="3" t="s">
        <v>23</v>
      </c>
      <c r="W224" s="3" t="s">
        <v>24</v>
      </c>
      <c r="X224" s="3" t="s">
        <v>24</v>
      </c>
      <c r="Y224" s="3" t="s">
        <v>33</v>
      </c>
      <c r="Z224" s="3" t="s">
        <v>25</v>
      </c>
      <c r="AA224" s="3" t="s">
        <v>25</v>
      </c>
      <c r="AB224" s="3" t="str">
        <f>IF(crimenes_cordoba_ampliado[[#This Row],[Hubo Arresto]]="Sí", "Resuelto", "Pendiente")</f>
        <v>Resuelto</v>
      </c>
      <c r="AC224" s="3" t="s">
        <v>170</v>
      </c>
      <c r="AD224" s="3"/>
    </row>
    <row r="225" spans="1:30" x14ac:dyDescent="0.25">
      <c r="A225">
        <v>459</v>
      </c>
      <c r="B225" s="1">
        <v>42915</v>
      </c>
      <c r="C225" s="33">
        <f t="shared" si="6"/>
        <v>42915</v>
      </c>
      <c r="D225" s="34">
        <f t="shared" si="7"/>
        <v>42915</v>
      </c>
      <c r="E225" s="35" t="s">
        <v>1454</v>
      </c>
      <c r="F225" s="2">
        <v>0.20972222222222223</v>
      </c>
      <c r="G225" s="3" t="s">
        <v>38</v>
      </c>
      <c r="H225" s="3" t="s">
        <v>62</v>
      </c>
      <c r="I225" s="25" t="str">
        <f>VLOOKUP(H225,Tabla5[#All],4,FALSE)</f>
        <v>-31,3909520937826, -64,1836424491715</v>
      </c>
      <c r="J225" s="1">
        <v>35620</v>
      </c>
      <c r="K225" s="7">
        <f>INT((crimenes_cordoba_ampliado[[#This Row],[Fecha]]-crimenes_cordoba_ampliado[[#This Row],[Fecha Nac. Delincuente]])/365)</f>
        <v>19</v>
      </c>
      <c r="L225" s="7" t="str">
        <f>_xlfn.XLOOKUP(crimenes_cordoba_ampliado[[#This Row],[EDAD DELINCUENTE]],'Rango etareo'!$A$10:$A$25,'Rango etareo'!$B$10:$B$25,,-1)</f>
        <v>18 - 25</v>
      </c>
      <c r="M225" s="3" t="s">
        <v>21</v>
      </c>
      <c r="N225" s="3" t="str">
        <f>IF(crimenes_cordoba_ampliado[[#This Row],[Género Delincuente]]="Femenino","🚺","🚹")</f>
        <v>🚺</v>
      </c>
      <c r="O225">
        <v>2</v>
      </c>
      <c r="P225" s="1">
        <v>20397</v>
      </c>
      <c r="Q225" s="7">
        <f>INT((crimenes_cordoba_ampliado[[#This Row],[Fecha]]-crimenes_cordoba_ampliado[[#This Row],[Fecha Nac. Víctima]])/365)</f>
        <v>61</v>
      </c>
      <c r="R225" s="7" t="str">
        <f>_xlfn.XLOOKUP(crimenes_cordoba_ampliado[[#This Row],[EDAD VICTIMA]],'Rango etareo'!$A$2:$A$25,'Rango etareo'!$B$2:$B$25,,-1)</f>
        <v>56 - 65</v>
      </c>
      <c r="S225" s="3" t="s">
        <v>22</v>
      </c>
      <c r="T225" s="3" t="str">
        <f>IF(crimenes_cordoba_ampliado[[#This Row],[Género Víctima]]="Masculino","🚹","🚺")</f>
        <v>🚹</v>
      </c>
      <c r="U225">
        <v>2</v>
      </c>
      <c r="V225" s="3" t="s">
        <v>25</v>
      </c>
      <c r="W225" s="3" t="s">
        <v>24</v>
      </c>
      <c r="X225" s="3" t="s">
        <v>24</v>
      </c>
      <c r="Y225" s="3" t="s">
        <v>53</v>
      </c>
      <c r="Z225" s="3" t="s">
        <v>25</v>
      </c>
      <c r="AA225" s="3" t="s">
        <v>23</v>
      </c>
      <c r="AB225" s="3" t="str">
        <f>IF(crimenes_cordoba_ampliado[[#This Row],[Hubo Arresto]]="Sí", "Resuelto", "Pendiente")</f>
        <v>Pendiente</v>
      </c>
      <c r="AC225" s="3" t="s">
        <v>24</v>
      </c>
      <c r="AD225" s="3"/>
    </row>
    <row r="226" spans="1:30" x14ac:dyDescent="0.25">
      <c r="A226">
        <v>221</v>
      </c>
      <c r="B226" s="1">
        <v>45123</v>
      </c>
      <c r="C226" s="33">
        <f t="shared" si="6"/>
        <v>45123</v>
      </c>
      <c r="D226" s="34">
        <f t="shared" si="7"/>
        <v>45123</v>
      </c>
      <c r="E226" s="35" t="s">
        <v>1449</v>
      </c>
      <c r="F226" s="2">
        <v>0.79652777777777772</v>
      </c>
      <c r="G226" s="3" t="s">
        <v>19</v>
      </c>
      <c r="H226" s="3" t="s">
        <v>55</v>
      </c>
      <c r="I226" s="25" t="str">
        <f>VLOOKUP(H226,Tabla5[#All],4,FALSE)</f>
        <v>-31,4015892433235, -64,160442876477</v>
      </c>
      <c r="J226" s="1">
        <v>30759</v>
      </c>
      <c r="K226" s="7">
        <f>INT((crimenes_cordoba_ampliado[[#This Row],[Fecha]]-crimenes_cordoba_ampliado[[#This Row],[Fecha Nac. Delincuente]])/365)</f>
        <v>39</v>
      </c>
      <c r="L226" s="7" t="str">
        <f>_xlfn.XLOOKUP(crimenes_cordoba_ampliado[[#This Row],[EDAD DELINCUENTE]],'Rango etareo'!$A$10:$A$25,'Rango etareo'!$B$10:$B$25,,-1)</f>
        <v>36 - 45</v>
      </c>
      <c r="M226" s="3" t="s">
        <v>22</v>
      </c>
      <c r="N226" s="3" t="str">
        <f>IF(crimenes_cordoba_ampliado[[#This Row],[Género Delincuente]]="Femenino","🚺","🚹")</f>
        <v>🚹</v>
      </c>
      <c r="O226">
        <v>5</v>
      </c>
      <c r="P226" s="1">
        <v>21212</v>
      </c>
      <c r="Q226" s="7">
        <f>INT((crimenes_cordoba_ampliado[[#This Row],[Fecha]]-crimenes_cordoba_ampliado[[#This Row],[Fecha Nac. Víctima]])/365)</f>
        <v>65</v>
      </c>
      <c r="R226" s="7" t="str">
        <f>_xlfn.XLOOKUP(crimenes_cordoba_ampliado[[#This Row],[EDAD VICTIMA]],'Rango etareo'!$A$2:$A$25,'Rango etareo'!$B$2:$B$25,,-1)</f>
        <v>&gt;65</v>
      </c>
      <c r="S226" s="3" t="s">
        <v>22</v>
      </c>
      <c r="T226" s="3" t="str">
        <f>IF(crimenes_cordoba_ampliado[[#This Row],[Género Víctima]]="Masculino","🚹","🚺")</f>
        <v>🚹</v>
      </c>
      <c r="U226">
        <v>3</v>
      </c>
      <c r="V226" s="3" t="s">
        <v>23</v>
      </c>
      <c r="W226" s="3" t="s">
        <v>24</v>
      </c>
      <c r="X226" s="3" t="s">
        <v>50</v>
      </c>
      <c r="Y226" s="3" t="s">
        <v>24</v>
      </c>
      <c r="Z226" s="3" t="s">
        <v>25</v>
      </c>
      <c r="AA226" s="3" t="s">
        <v>25</v>
      </c>
      <c r="AB226" s="3" t="str">
        <f>IF(crimenes_cordoba_ampliado[[#This Row],[Hubo Arresto]]="Sí", "Resuelto", "Pendiente")</f>
        <v>Resuelto</v>
      </c>
      <c r="AC226" s="3" t="s">
        <v>171</v>
      </c>
      <c r="AD226" s="3"/>
    </row>
    <row r="227" spans="1:30" x14ac:dyDescent="0.25">
      <c r="A227">
        <v>222</v>
      </c>
      <c r="B227" s="1">
        <v>43559</v>
      </c>
      <c r="C227" s="33">
        <f t="shared" si="6"/>
        <v>43559</v>
      </c>
      <c r="D227" s="34">
        <f t="shared" si="7"/>
        <v>43559</v>
      </c>
      <c r="E227" s="35" t="s">
        <v>1454</v>
      </c>
      <c r="F227" s="2">
        <v>1.8055555555555554E-2</v>
      </c>
      <c r="G227" s="3" t="s">
        <v>38</v>
      </c>
      <c r="H227" s="3" t="s">
        <v>60</v>
      </c>
      <c r="I227" s="25" t="str">
        <f>VLOOKUP(H227,Tabla5[#All],4,FALSE)</f>
        <v>-31,4076397196409, -64,2020170430678</v>
      </c>
      <c r="J227" s="1">
        <v>24406</v>
      </c>
      <c r="K227" s="7">
        <f>INT((crimenes_cordoba_ampliado[[#This Row],[Fecha]]-crimenes_cordoba_ampliado[[#This Row],[Fecha Nac. Delincuente]])/365)</f>
        <v>52</v>
      </c>
      <c r="L227" s="7" t="str">
        <f>_xlfn.XLOOKUP(crimenes_cordoba_ampliado[[#This Row],[EDAD DELINCUENTE]],'Rango etareo'!$A$10:$A$25,'Rango etareo'!$B$10:$B$25,,-1)</f>
        <v>46 - 55</v>
      </c>
      <c r="M227" s="3" t="s">
        <v>21</v>
      </c>
      <c r="N227" s="3" t="str">
        <f>IF(crimenes_cordoba_ampliado[[#This Row],[Género Delincuente]]="Femenino","🚺","🚹")</f>
        <v>🚺</v>
      </c>
      <c r="O227">
        <v>3</v>
      </c>
      <c r="P227" s="1">
        <v>25523</v>
      </c>
      <c r="Q227" s="7">
        <f>INT((crimenes_cordoba_ampliado[[#This Row],[Fecha]]-crimenes_cordoba_ampliado[[#This Row],[Fecha Nac. Víctima]])/365)</f>
        <v>49</v>
      </c>
      <c r="R227" s="7" t="str">
        <f>_xlfn.XLOOKUP(crimenes_cordoba_ampliado[[#This Row],[EDAD VICTIMA]],'Rango etareo'!$A$2:$A$25,'Rango etareo'!$B$2:$B$25,,-1)</f>
        <v>46 - 55</v>
      </c>
      <c r="S227" s="3" t="s">
        <v>22</v>
      </c>
      <c r="T227" s="3" t="str">
        <f>IF(crimenes_cordoba_ampliado[[#This Row],[Género Víctima]]="Masculino","🚹","🚺")</f>
        <v>🚹</v>
      </c>
      <c r="U227">
        <v>1</v>
      </c>
      <c r="V227" s="3" t="s">
        <v>23</v>
      </c>
      <c r="W227" s="3" t="s">
        <v>24</v>
      </c>
      <c r="X227" s="3" t="s">
        <v>41</v>
      </c>
      <c r="Y227" s="3" t="s">
        <v>24</v>
      </c>
      <c r="Z227" s="3" t="s">
        <v>25</v>
      </c>
      <c r="AA227" s="3" t="s">
        <v>25</v>
      </c>
      <c r="AB227" s="3" t="str">
        <f>IF(crimenes_cordoba_ampliado[[#This Row],[Hubo Arresto]]="Sí", "Resuelto", "Pendiente")</f>
        <v>Resuelto</v>
      </c>
      <c r="AC227" s="3" t="s">
        <v>172</v>
      </c>
      <c r="AD227" s="3"/>
    </row>
    <row r="228" spans="1:30" x14ac:dyDescent="0.25">
      <c r="A228">
        <v>368</v>
      </c>
      <c r="B228" s="1">
        <v>42941</v>
      </c>
      <c r="C228" s="33">
        <f t="shared" si="6"/>
        <v>42941</v>
      </c>
      <c r="D228" s="34">
        <f t="shared" si="7"/>
        <v>42941</v>
      </c>
      <c r="E228" s="35" t="s">
        <v>1453</v>
      </c>
      <c r="F228" s="2">
        <v>0.64722222222222225</v>
      </c>
      <c r="G228" s="3" t="s">
        <v>42</v>
      </c>
      <c r="H228" s="3" t="s">
        <v>32</v>
      </c>
      <c r="I228" s="25" t="str">
        <f>VLOOKUP(H228,Tabla5[#All],4,FALSE)</f>
        <v>-31,4148488101991, -64,1793406489438</v>
      </c>
      <c r="J228" s="1">
        <v>36504</v>
      </c>
      <c r="K228" s="7">
        <f>INT((crimenes_cordoba_ampliado[[#This Row],[Fecha]]-crimenes_cordoba_ampliado[[#This Row],[Fecha Nac. Delincuente]])/365)</f>
        <v>17</v>
      </c>
      <c r="L228" s="7" t="str">
        <f>_xlfn.XLOOKUP(crimenes_cordoba_ampliado[[#This Row],[EDAD DELINCUENTE]],'Rango etareo'!$A$10:$A$25,'Rango etareo'!$B$10:$B$25,,-1)</f>
        <v>&lt;=17</v>
      </c>
      <c r="M228" s="3" t="s">
        <v>21</v>
      </c>
      <c r="N228" s="3" t="str">
        <f>IF(crimenes_cordoba_ampliado[[#This Row],[Género Delincuente]]="Femenino","🚺","🚹")</f>
        <v>🚺</v>
      </c>
      <c r="O228">
        <v>3</v>
      </c>
      <c r="P228" s="1">
        <v>28770</v>
      </c>
      <c r="Q228" s="7">
        <f>INT((crimenes_cordoba_ampliado[[#This Row],[Fecha]]-crimenes_cordoba_ampliado[[#This Row],[Fecha Nac. Víctima]])/365)</f>
        <v>38</v>
      </c>
      <c r="R228" s="7" t="str">
        <f>_xlfn.XLOOKUP(crimenes_cordoba_ampliado[[#This Row],[EDAD VICTIMA]],'Rango etareo'!$A$2:$A$25,'Rango etareo'!$B$2:$B$25,,-1)</f>
        <v>36 - 45</v>
      </c>
      <c r="S228" s="3" t="s">
        <v>21</v>
      </c>
      <c r="T228" s="3" t="str">
        <f>IF(crimenes_cordoba_ampliado[[#This Row],[Género Víctima]]="Masculino","🚹","🚺")</f>
        <v>🚺</v>
      </c>
      <c r="U228">
        <v>2</v>
      </c>
      <c r="V228" s="3" t="s">
        <v>25</v>
      </c>
      <c r="W228" s="3" t="s">
        <v>24</v>
      </c>
      <c r="X228" s="3" t="s">
        <v>24</v>
      </c>
      <c r="Y228" s="3" t="s">
        <v>89</v>
      </c>
      <c r="Z228" s="3" t="s">
        <v>25</v>
      </c>
      <c r="AA228" s="3" t="s">
        <v>25</v>
      </c>
      <c r="AB228" s="3" t="str">
        <f>IF(crimenes_cordoba_ampliado[[#This Row],[Hubo Arresto]]="Sí", "Resuelto", "Pendiente")</f>
        <v>Pendiente</v>
      </c>
      <c r="AC228" s="3" t="s">
        <v>24</v>
      </c>
      <c r="AD228" s="3"/>
    </row>
    <row r="229" spans="1:30" x14ac:dyDescent="0.25">
      <c r="A229">
        <v>225</v>
      </c>
      <c r="B229" s="1">
        <v>45305</v>
      </c>
      <c r="C229" s="33">
        <f t="shared" si="6"/>
        <v>45305</v>
      </c>
      <c r="D229" s="34">
        <f t="shared" si="7"/>
        <v>45305</v>
      </c>
      <c r="E229" s="35" t="s">
        <v>1449</v>
      </c>
      <c r="F229" s="2">
        <v>0.15069444444444444</v>
      </c>
      <c r="G229" s="3" t="s">
        <v>38</v>
      </c>
      <c r="H229" s="3" t="s">
        <v>60</v>
      </c>
      <c r="I229" s="25" t="str">
        <f>VLOOKUP(H229,Tabla5[#All],4,FALSE)</f>
        <v>-31,4076397196409, -64,2020170430678</v>
      </c>
      <c r="J229" s="1">
        <v>19657</v>
      </c>
      <c r="K229" s="7">
        <f>INT((crimenes_cordoba_ampliado[[#This Row],[Fecha]]-crimenes_cordoba_ampliado[[#This Row],[Fecha Nac. Delincuente]])/365)</f>
        <v>70</v>
      </c>
      <c r="L229" s="7" t="str">
        <f>_xlfn.XLOOKUP(crimenes_cordoba_ampliado[[#This Row],[EDAD DELINCUENTE]],'Rango etareo'!$A$10:$A$25,'Rango etareo'!$B$10:$B$25,,-1)</f>
        <v>&gt;65</v>
      </c>
      <c r="M229" s="3" t="s">
        <v>22</v>
      </c>
      <c r="N229" s="3" t="str">
        <f>IF(crimenes_cordoba_ampliado[[#This Row],[Género Delincuente]]="Femenino","🚺","🚹")</f>
        <v>🚹</v>
      </c>
      <c r="O229">
        <v>4</v>
      </c>
      <c r="P229" s="1">
        <v>20725</v>
      </c>
      <c r="Q229" s="7">
        <f>INT((crimenes_cordoba_ampliado[[#This Row],[Fecha]]-crimenes_cordoba_ampliado[[#This Row],[Fecha Nac. Víctima]])/365)</f>
        <v>67</v>
      </c>
      <c r="R229" s="7" t="str">
        <f>_xlfn.XLOOKUP(crimenes_cordoba_ampliado[[#This Row],[EDAD VICTIMA]],'Rango etareo'!$A$2:$A$25,'Rango etareo'!$B$2:$B$25,,-1)</f>
        <v>&gt;65</v>
      </c>
      <c r="S229" s="3" t="s">
        <v>22</v>
      </c>
      <c r="T229" s="3" t="str">
        <f>IF(crimenes_cordoba_ampliado[[#This Row],[Género Víctima]]="Masculino","🚹","🚺")</f>
        <v>🚹</v>
      </c>
      <c r="U229">
        <v>1</v>
      </c>
      <c r="V229" s="3" t="s">
        <v>23</v>
      </c>
      <c r="W229" s="3" t="s">
        <v>24</v>
      </c>
      <c r="X229" s="3" t="s">
        <v>41</v>
      </c>
      <c r="Y229" s="3" t="s">
        <v>24</v>
      </c>
      <c r="Z229" s="3" t="s">
        <v>23</v>
      </c>
      <c r="AA229" s="3" t="s">
        <v>25</v>
      </c>
      <c r="AB229" s="3" t="str">
        <f>IF(crimenes_cordoba_ampliado[[#This Row],[Hubo Arresto]]="Sí", "Resuelto", "Pendiente")</f>
        <v>Resuelto</v>
      </c>
      <c r="AC229" s="3" t="s">
        <v>173</v>
      </c>
      <c r="AD229" s="3"/>
    </row>
    <row r="230" spans="1:30" x14ac:dyDescent="0.25">
      <c r="A230">
        <v>226</v>
      </c>
      <c r="B230" s="1">
        <v>43128</v>
      </c>
      <c r="C230" s="33">
        <f t="shared" si="6"/>
        <v>43128</v>
      </c>
      <c r="D230" s="34">
        <f t="shared" si="7"/>
        <v>43128</v>
      </c>
      <c r="E230" s="35" t="s">
        <v>1449</v>
      </c>
      <c r="F230" s="2">
        <v>0.64722222222222225</v>
      </c>
      <c r="G230" s="3" t="s">
        <v>42</v>
      </c>
      <c r="H230" s="3" t="s">
        <v>40</v>
      </c>
      <c r="I230" s="25" t="str">
        <f>VLOOKUP(H230,Tabla5[#All],4,FALSE)</f>
        <v>-31,334500143441, -64,2460773260564</v>
      </c>
      <c r="J230" s="1">
        <v>38495</v>
      </c>
      <c r="K230" s="7">
        <f>INT((crimenes_cordoba_ampliado[[#This Row],[Fecha]]-crimenes_cordoba_ampliado[[#This Row],[Fecha Nac. Delincuente]])/365)</f>
        <v>12</v>
      </c>
      <c r="L230" s="7" t="str">
        <f>_xlfn.XLOOKUP(crimenes_cordoba_ampliado[[#This Row],[EDAD DELINCUENTE]],'Rango etareo'!$A$10:$A$25,'Rango etareo'!$B$10:$B$25,,-1)</f>
        <v>&lt;=17</v>
      </c>
      <c r="M230" s="3" t="s">
        <v>21</v>
      </c>
      <c r="N230" s="3" t="str">
        <f>IF(crimenes_cordoba_ampliado[[#This Row],[Género Delincuente]]="Femenino","🚺","🚹")</f>
        <v>🚺</v>
      </c>
      <c r="O230">
        <v>2</v>
      </c>
      <c r="P230" s="1">
        <v>18288</v>
      </c>
      <c r="Q230" s="7">
        <f>INT((crimenes_cordoba_ampliado[[#This Row],[Fecha]]-crimenes_cordoba_ampliado[[#This Row],[Fecha Nac. Víctima]])/365)</f>
        <v>68</v>
      </c>
      <c r="R230" s="7" t="str">
        <f>_xlfn.XLOOKUP(crimenes_cordoba_ampliado[[#This Row],[EDAD VICTIMA]],'Rango etareo'!$A$2:$A$25,'Rango etareo'!$B$2:$B$25,,-1)</f>
        <v>&gt;65</v>
      </c>
      <c r="S230" s="3" t="s">
        <v>22</v>
      </c>
      <c r="T230" s="3" t="str">
        <f>IF(crimenes_cordoba_ampliado[[#This Row],[Género Víctima]]="Masculino","🚹","🚺")</f>
        <v>🚹</v>
      </c>
      <c r="U230">
        <v>3</v>
      </c>
      <c r="V230" s="3" t="s">
        <v>23</v>
      </c>
      <c r="W230" s="3" t="s">
        <v>24</v>
      </c>
      <c r="X230" s="3" t="s">
        <v>24</v>
      </c>
      <c r="Y230" s="3" t="s">
        <v>56</v>
      </c>
      <c r="Z230" s="3" t="s">
        <v>23</v>
      </c>
      <c r="AA230" s="3" t="s">
        <v>25</v>
      </c>
      <c r="AB230" s="3" t="str">
        <f>IF(crimenes_cordoba_ampliado[[#This Row],[Hubo Arresto]]="Sí", "Resuelto", "Pendiente")</f>
        <v>Resuelto</v>
      </c>
      <c r="AC230" s="3" t="s">
        <v>174</v>
      </c>
      <c r="AD230" s="3"/>
    </row>
    <row r="231" spans="1:30" x14ac:dyDescent="0.25">
      <c r="A231">
        <v>941</v>
      </c>
      <c r="B231" s="1">
        <v>42965</v>
      </c>
      <c r="C231" s="33">
        <f t="shared" si="6"/>
        <v>42965</v>
      </c>
      <c r="D231" s="34">
        <f t="shared" si="7"/>
        <v>42965</v>
      </c>
      <c r="E231" s="35" t="s">
        <v>1455</v>
      </c>
      <c r="F231" s="2">
        <v>0.38680555555555557</v>
      </c>
      <c r="G231" s="3" t="s">
        <v>35</v>
      </c>
      <c r="H231" s="3" t="s">
        <v>62</v>
      </c>
      <c r="I231" s="25" t="str">
        <f>VLOOKUP(H231,Tabla5[#All],4,FALSE)</f>
        <v>-31,3909520937826, -64,1836424491715</v>
      </c>
      <c r="J231" s="1">
        <v>21038</v>
      </c>
      <c r="K231" s="7">
        <f>INT((crimenes_cordoba_ampliado[[#This Row],[Fecha]]-crimenes_cordoba_ampliado[[#This Row],[Fecha Nac. Delincuente]])/365)</f>
        <v>60</v>
      </c>
      <c r="L231" s="7" t="str">
        <f>_xlfn.XLOOKUP(crimenes_cordoba_ampliado[[#This Row],[EDAD DELINCUENTE]],'Rango etareo'!$A$10:$A$25,'Rango etareo'!$B$10:$B$25,,-1)</f>
        <v>56 - 65</v>
      </c>
      <c r="M231" s="3" t="s">
        <v>22</v>
      </c>
      <c r="N231" s="3" t="str">
        <f>IF(crimenes_cordoba_ampliado[[#This Row],[Género Delincuente]]="Femenino","🚺","🚹")</f>
        <v>🚹</v>
      </c>
      <c r="O231">
        <v>3</v>
      </c>
      <c r="P231" s="1">
        <v>17278</v>
      </c>
      <c r="Q231" s="7">
        <f>INT((crimenes_cordoba_ampliado[[#This Row],[Fecha]]-crimenes_cordoba_ampliado[[#This Row],[Fecha Nac. Víctima]])/365)</f>
        <v>70</v>
      </c>
      <c r="R231" s="7" t="str">
        <f>_xlfn.XLOOKUP(crimenes_cordoba_ampliado[[#This Row],[EDAD VICTIMA]],'Rango etareo'!$A$2:$A$25,'Rango etareo'!$B$2:$B$25,,-1)</f>
        <v>&gt;65</v>
      </c>
      <c r="S231" s="3" t="s">
        <v>22</v>
      </c>
      <c r="T231" s="3" t="str">
        <f>IF(crimenes_cordoba_ampliado[[#This Row],[Género Víctima]]="Masculino","🚹","🚺")</f>
        <v>🚹</v>
      </c>
      <c r="U231">
        <v>3</v>
      </c>
      <c r="V231" s="3" t="s">
        <v>25</v>
      </c>
      <c r="W231" s="3" t="s">
        <v>24</v>
      </c>
      <c r="X231" s="3" t="s">
        <v>24</v>
      </c>
      <c r="Y231" s="3" t="s">
        <v>24</v>
      </c>
      <c r="Z231" s="3" t="s">
        <v>23</v>
      </c>
      <c r="AA231" s="3" t="s">
        <v>25</v>
      </c>
      <c r="AB231" s="3" t="str">
        <f>IF(crimenes_cordoba_ampliado[[#This Row],[Hubo Arresto]]="Sí", "Resuelto", "Pendiente")</f>
        <v>Pendiente</v>
      </c>
      <c r="AC231" s="3" t="s">
        <v>24</v>
      </c>
      <c r="AD231" s="3"/>
    </row>
    <row r="232" spans="1:30" x14ac:dyDescent="0.25">
      <c r="A232">
        <v>784</v>
      </c>
      <c r="B232" s="1">
        <v>42968</v>
      </c>
      <c r="C232" s="33">
        <f t="shared" si="6"/>
        <v>42968</v>
      </c>
      <c r="D232" s="34">
        <f t="shared" si="7"/>
        <v>42968</v>
      </c>
      <c r="E232" s="35" t="s">
        <v>1452</v>
      </c>
      <c r="F232" s="2">
        <v>0.21458333333333332</v>
      </c>
      <c r="G232" s="3" t="s">
        <v>27</v>
      </c>
      <c r="H232" s="3" t="s">
        <v>32</v>
      </c>
      <c r="I232" s="25" t="str">
        <f>VLOOKUP(H232,Tabla5[#All],4,FALSE)</f>
        <v>-31,4148488101991, -64,1793406489438</v>
      </c>
      <c r="J232" s="1">
        <v>38753</v>
      </c>
      <c r="K232" s="7">
        <f>INT((crimenes_cordoba_ampliado[[#This Row],[Fecha]]-crimenes_cordoba_ampliado[[#This Row],[Fecha Nac. Delincuente]])/365)</f>
        <v>11</v>
      </c>
      <c r="L232" s="7" t="str">
        <f>_xlfn.XLOOKUP(crimenes_cordoba_ampliado[[#This Row],[EDAD DELINCUENTE]],'Rango etareo'!$A$10:$A$25,'Rango etareo'!$B$10:$B$25,,-1)</f>
        <v>&lt;=17</v>
      </c>
      <c r="M232" s="3" t="s">
        <v>22</v>
      </c>
      <c r="N232" s="3" t="str">
        <f>IF(crimenes_cordoba_ampliado[[#This Row],[Género Delincuente]]="Femenino","🚺","🚹")</f>
        <v>🚹</v>
      </c>
      <c r="O232">
        <v>3</v>
      </c>
      <c r="P232" s="1">
        <v>23398</v>
      </c>
      <c r="Q232" s="7">
        <f>INT((crimenes_cordoba_ampliado[[#This Row],[Fecha]]-crimenes_cordoba_ampliado[[#This Row],[Fecha Nac. Víctima]])/365)</f>
        <v>53</v>
      </c>
      <c r="R232" s="7" t="str">
        <f>_xlfn.XLOOKUP(crimenes_cordoba_ampliado[[#This Row],[EDAD VICTIMA]],'Rango etareo'!$A$2:$A$25,'Rango etareo'!$B$2:$B$25,,-1)</f>
        <v>46 - 55</v>
      </c>
      <c r="S232" s="3" t="s">
        <v>22</v>
      </c>
      <c r="T232" s="3" t="str">
        <f>IF(crimenes_cordoba_ampliado[[#This Row],[Género Víctima]]="Masculino","🚹","🚺")</f>
        <v>🚹</v>
      </c>
      <c r="U232">
        <v>2</v>
      </c>
      <c r="V232" s="3" t="s">
        <v>25</v>
      </c>
      <c r="W232" s="3" t="s">
        <v>24</v>
      </c>
      <c r="X232" s="3" t="s">
        <v>67</v>
      </c>
      <c r="Y232" s="3" t="s">
        <v>24</v>
      </c>
      <c r="Z232" s="3" t="s">
        <v>25</v>
      </c>
      <c r="AA232" s="3" t="s">
        <v>25</v>
      </c>
      <c r="AB232" s="3" t="str">
        <f>IF(crimenes_cordoba_ampliado[[#This Row],[Hubo Arresto]]="Sí", "Resuelto", "Pendiente")</f>
        <v>Pendiente</v>
      </c>
      <c r="AC232" s="3" t="s">
        <v>24</v>
      </c>
      <c r="AD232" s="3"/>
    </row>
    <row r="233" spans="1:30" x14ac:dyDescent="0.25">
      <c r="A233">
        <v>228</v>
      </c>
      <c r="B233" s="1">
        <v>42424</v>
      </c>
      <c r="C233" s="33">
        <f t="shared" si="6"/>
        <v>42424</v>
      </c>
      <c r="D233" s="34">
        <f t="shared" si="7"/>
        <v>42424</v>
      </c>
      <c r="E233" s="35" t="s">
        <v>1450</v>
      </c>
      <c r="F233" s="2">
        <v>0.68958333333333333</v>
      </c>
      <c r="G233" s="3" t="s">
        <v>31</v>
      </c>
      <c r="H233" s="3" t="s">
        <v>60</v>
      </c>
      <c r="I233" s="25" t="str">
        <f>VLOOKUP(H233,Tabla5[#All],4,FALSE)</f>
        <v>-31,4076397196409, -64,2020170430678</v>
      </c>
      <c r="J233" s="1">
        <v>33521</v>
      </c>
      <c r="K233" s="7">
        <f>INT((crimenes_cordoba_ampliado[[#This Row],[Fecha]]-crimenes_cordoba_ampliado[[#This Row],[Fecha Nac. Delincuente]])/365)</f>
        <v>24</v>
      </c>
      <c r="L233" s="7" t="str">
        <f>_xlfn.XLOOKUP(crimenes_cordoba_ampliado[[#This Row],[EDAD DELINCUENTE]],'Rango etareo'!$A$10:$A$25,'Rango etareo'!$B$10:$B$25,,-1)</f>
        <v>18 - 25</v>
      </c>
      <c r="M233" s="3" t="s">
        <v>22</v>
      </c>
      <c r="N233" s="3" t="str">
        <f>IF(crimenes_cordoba_ampliado[[#This Row],[Género Delincuente]]="Femenino","🚺","🚹")</f>
        <v>🚹</v>
      </c>
      <c r="O233">
        <v>5</v>
      </c>
      <c r="P233" s="1">
        <v>16650</v>
      </c>
      <c r="Q233" s="7">
        <f>INT((crimenes_cordoba_ampliado[[#This Row],[Fecha]]-crimenes_cordoba_ampliado[[#This Row],[Fecha Nac. Víctima]])/365)</f>
        <v>70</v>
      </c>
      <c r="R233" s="7" t="str">
        <f>_xlfn.XLOOKUP(crimenes_cordoba_ampliado[[#This Row],[EDAD VICTIMA]],'Rango etareo'!$A$2:$A$25,'Rango etareo'!$B$2:$B$25,,-1)</f>
        <v>&gt;65</v>
      </c>
      <c r="S233" s="3" t="s">
        <v>22</v>
      </c>
      <c r="T233" s="3" t="str">
        <f>IF(crimenes_cordoba_ampliado[[#This Row],[Género Víctima]]="Masculino","🚹","🚺")</f>
        <v>🚹</v>
      </c>
      <c r="U233">
        <v>1</v>
      </c>
      <c r="V233" s="3" t="s">
        <v>23</v>
      </c>
      <c r="W233" s="3" t="s">
        <v>24</v>
      </c>
      <c r="X233" s="3" t="s">
        <v>24</v>
      </c>
      <c r="Y233" s="3" t="s">
        <v>43</v>
      </c>
      <c r="Z233" s="3" t="s">
        <v>23</v>
      </c>
      <c r="AA233" s="3" t="s">
        <v>25</v>
      </c>
      <c r="AB233" s="3" t="str">
        <f>IF(crimenes_cordoba_ampliado[[#This Row],[Hubo Arresto]]="Sí", "Resuelto", "Pendiente")</f>
        <v>Resuelto</v>
      </c>
      <c r="AC233" s="3" t="s">
        <v>134</v>
      </c>
      <c r="AD233" s="3"/>
    </row>
    <row r="234" spans="1:30" x14ac:dyDescent="0.25">
      <c r="A234">
        <v>229</v>
      </c>
      <c r="B234" s="1">
        <v>42577</v>
      </c>
      <c r="C234" s="33">
        <f t="shared" si="6"/>
        <v>42577</v>
      </c>
      <c r="D234" s="34">
        <f t="shared" si="7"/>
        <v>42577</v>
      </c>
      <c r="E234" s="35" t="s">
        <v>1453</v>
      </c>
      <c r="F234" s="2">
        <v>0.33333333333333331</v>
      </c>
      <c r="G234" s="3" t="s">
        <v>79</v>
      </c>
      <c r="H234" s="3" t="s">
        <v>70</v>
      </c>
      <c r="I234" s="25" t="str">
        <f>VLOOKUP(H234,Tabla5[#All],4,FALSE)</f>
        <v>-31,3759272890294, -64,2284587792478</v>
      </c>
      <c r="J234" s="1">
        <v>23859</v>
      </c>
      <c r="K234" s="7">
        <f>INT((crimenes_cordoba_ampliado[[#This Row],[Fecha]]-crimenes_cordoba_ampliado[[#This Row],[Fecha Nac. Delincuente]])/365)</f>
        <v>51</v>
      </c>
      <c r="L234" s="7" t="str">
        <f>_xlfn.XLOOKUP(crimenes_cordoba_ampliado[[#This Row],[EDAD DELINCUENTE]],'Rango etareo'!$A$10:$A$25,'Rango etareo'!$B$10:$B$25,,-1)</f>
        <v>46 - 55</v>
      </c>
      <c r="M234" s="3" t="s">
        <v>22</v>
      </c>
      <c r="N234" s="3" t="str">
        <f>IF(crimenes_cordoba_ampliado[[#This Row],[Género Delincuente]]="Femenino","🚺","🚹")</f>
        <v>🚹</v>
      </c>
      <c r="O234">
        <v>2</v>
      </c>
      <c r="P234" s="1">
        <v>34969</v>
      </c>
      <c r="Q234" s="7">
        <f>INT((crimenes_cordoba_ampliado[[#This Row],[Fecha]]-crimenes_cordoba_ampliado[[#This Row],[Fecha Nac. Víctima]])/365)</f>
        <v>20</v>
      </c>
      <c r="R234" s="7" t="str">
        <f>_xlfn.XLOOKUP(crimenes_cordoba_ampliado[[#This Row],[EDAD VICTIMA]],'Rango etareo'!$A$2:$A$25,'Rango etareo'!$B$2:$B$25,,-1)</f>
        <v>18 - 25</v>
      </c>
      <c r="S234" s="3" t="s">
        <v>22</v>
      </c>
      <c r="T234" s="3" t="str">
        <f>IF(crimenes_cordoba_ampliado[[#This Row],[Género Víctima]]="Masculino","🚹","🚺")</f>
        <v>🚹</v>
      </c>
      <c r="U234">
        <v>2</v>
      </c>
      <c r="V234" s="3" t="s">
        <v>23</v>
      </c>
      <c r="W234" s="3" t="s">
        <v>24</v>
      </c>
      <c r="X234" s="3" t="s">
        <v>24</v>
      </c>
      <c r="Y234" s="3" t="s">
        <v>106</v>
      </c>
      <c r="Z234" s="3" t="s">
        <v>23</v>
      </c>
      <c r="AA234" s="3" t="s">
        <v>23</v>
      </c>
      <c r="AB234" s="3" t="str">
        <f>IF(crimenes_cordoba_ampliado[[#This Row],[Hubo Arresto]]="Sí", "Resuelto", "Pendiente")</f>
        <v>Resuelto</v>
      </c>
      <c r="AC234" s="3" t="s">
        <v>175</v>
      </c>
      <c r="AD234" s="3"/>
    </row>
    <row r="235" spans="1:30" x14ac:dyDescent="0.25">
      <c r="A235">
        <v>233</v>
      </c>
      <c r="B235" s="1">
        <v>44566</v>
      </c>
      <c r="C235" s="33">
        <f t="shared" si="6"/>
        <v>44566</v>
      </c>
      <c r="D235" s="34">
        <f t="shared" si="7"/>
        <v>44566</v>
      </c>
      <c r="E235" s="35" t="s">
        <v>1450</v>
      </c>
      <c r="F235" s="2">
        <v>0.26111111111111113</v>
      </c>
      <c r="G235" s="3" t="s">
        <v>51</v>
      </c>
      <c r="H235" s="3" t="s">
        <v>28</v>
      </c>
      <c r="I235" s="25" t="str">
        <f>VLOOKUP(H235,Tabla5[#All],4,FALSE)</f>
        <v>-31,4129883640337, -64,1681120522587</v>
      </c>
      <c r="J235" s="1">
        <v>29205</v>
      </c>
      <c r="K235" s="7">
        <f>INT((crimenes_cordoba_ampliado[[#This Row],[Fecha]]-crimenes_cordoba_ampliado[[#This Row],[Fecha Nac. Delincuente]])/365)</f>
        <v>42</v>
      </c>
      <c r="L235" s="7" t="str">
        <f>_xlfn.XLOOKUP(crimenes_cordoba_ampliado[[#This Row],[EDAD DELINCUENTE]],'Rango etareo'!$A$10:$A$25,'Rango etareo'!$B$10:$B$25,,-1)</f>
        <v>36 - 45</v>
      </c>
      <c r="M235" s="3" t="s">
        <v>21</v>
      </c>
      <c r="N235" s="3" t="str">
        <f>IF(crimenes_cordoba_ampliado[[#This Row],[Género Delincuente]]="Femenino","🚺","🚹")</f>
        <v>🚺</v>
      </c>
      <c r="O235">
        <v>2</v>
      </c>
      <c r="P235" s="1">
        <v>22243</v>
      </c>
      <c r="Q235" s="7">
        <f>INT((crimenes_cordoba_ampliado[[#This Row],[Fecha]]-crimenes_cordoba_ampliado[[#This Row],[Fecha Nac. Víctima]])/365)</f>
        <v>61</v>
      </c>
      <c r="R235" s="7" t="str">
        <f>_xlfn.XLOOKUP(crimenes_cordoba_ampliado[[#This Row],[EDAD VICTIMA]],'Rango etareo'!$A$2:$A$25,'Rango etareo'!$B$2:$B$25,,-1)</f>
        <v>56 - 65</v>
      </c>
      <c r="S235" s="3" t="s">
        <v>22</v>
      </c>
      <c r="T235" s="3" t="str">
        <f>IF(crimenes_cordoba_ampliado[[#This Row],[Género Víctima]]="Masculino","🚹","🚺")</f>
        <v>🚹</v>
      </c>
      <c r="U235">
        <v>2</v>
      </c>
      <c r="V235" s="3" t="s">
        <v>23</v>
      </c>
      <c r="W235" s="3" t="s">
        <v>24</v>
      </c>
      <c r="X235" s="3" t="s">
        <v>24</v>
      </c>
      <c r="Y235" s="3" t="s">
        <v>113</v>
      </c>
      <c r="Z235" s="3" t="s">
        <v>25</v>
      </c>
      <c r="AA235" s="3" t="s">
        <v>23</v>
      </c>
      <c r="AB235" s="3" t="str">
        <f>IF(crimenes_cordoba_ampliado[[#This Row],[Hubo Arresto]]="Sí", "Resuelto", "Pendiente")</f>
        <v>Resuelto</v>
      </c>
      <c r="AC235" s="3" t="s">
        <v>176</v>
      </c>
      <c r="AD235" s="3"/>
    </row>
    <row r="236" spans="1:30" x14ac:dyDescent="0.25">
      <c r="A236">
        <v>814</v>
      </c>
      <c r="B236" s="1">
        <v>42984</v>
      </c>
      <c r="C236" s="33">
        <f t="shared" si="6"/>
        <v>42984</v>
      </c>
      <c r="D236" s="34">
        <f t="shared" si="7"/>
        <v>42984</v>
      </c>
      <c r="E236" s="35" t="s">
        <v>1450</v>
      </c>
      <c r="F236" s="2">
        <v>0.97986111111111107</v>
      </c>
      <c r="G236" s="3" t="s">
        <v>48</v>
      </c>
      <c r="H236" s="3" t="s">
        <v>60</v>
      </c>
      <c r="I236" s="25" t="str">
        <f>VLOOKUP(H236,Tabla5[#All],4,FALSE)</f>
        <v>-31,4076397196409, -64,2020170430678</v>
      </c>
      <c r="J236" s="1">
        <v>35356</v>
      </c>
      <c r="K236" s="7">
        <f>INT((crimenes_cordoba_ampliado[[#This Row],[Fecha]]-crimenes_cordoba_ampliado[[#This Row],[Fecha Nac. Delincuente]])/365)</f>
        <v>20</v>
      </c>
      <c r="L236" s="7" t="str">
        <f>_xlfn.XLOOKUP(crimenes_cordoba_ampliado[[#This Row],[EDAD DELINCUENTE]],'Rango etareo'!$A$10:$A$25,'Rango etareo'!$B$10:$B$25,,-1)</f>
        <v>18 - 25</v>
      </c>
      <c r="M236" s="3" t="s">
        <v>22</v>
      </c>
      <c r="N236" s="3" t="str">
        <f>IF(crimenes_cordoba_ampliado[[#This Row],[Género Delincuente]]="Femenino","🚺","🚹")</f>
        <v>🚹</v>
      </c>
      <c r="O236">
        <v>5</v>
      </c>
      <c r="P236" s="1">
        <v>26971</v>
      </c>
      <c r="Q236" s="7">
        <f>INT((crimenes_cordoba_ampliado[[#This Row],[Fecha]]-crimenes_cordoba_ampliado[[#This Row],[Fecha Nac. Víctima]])/365)</f>
        <v>43</v>
      </c>
      <c r="R236" s="7" t="str">
        <f>_xlfn.XLOOKUP(crimenes_cordoba_ampliado[[#This Row],[EDAD VICTIMA]],'Rango etareo'!$A$2:$A$25,'Rango etareo'!$B$2:$B$25,,-1)</f>
        <v>36 - 45</v>
      </c>
      <c r="S236" s="3" t="s">
        <v>21</v>
      </c>
      <c r="T236" s="3" t="str">
        <f>IF(crimenes_cordoba_ampliado[[#This Row],[Género Víctima]]="Masculino","🚹","🚺")</f>
        <v>🚺</v>
      </c>
      <c r="U236">
        <v>1</v>
      </c>
      <c r="V236" s="3" t="s">
        <v>25</v>
      </c>
      <c r="W236" s="3" t="s">
        <v>36</v>
      </c>
      <c r="X236" s="3" t="s">
        <v>24</v>
      </c>
      <c r="Y236" s="3" t="s">
        <v>99</v>
      </c>
      <c r="Z236" s="3" t="s">
        <v>23</v>
      </c>
      <c r="AA236" s="3" t="s">
        <v>23</v>
      </c>
      <c r="AB236" s="3" t="str">
        <f>IF(crimenes_cordoba_ampliado[[#This Row],[Hubo Arresto]]="Sí", "Resuelto", "Pendiente")</f>
        <v>Pendiente</v>
      </c>
      <c r="AC236" s="3" t="s">
        <v>24</v>
      </c>
      <c r="AD236" s="3"/>
    </row>
    <row r="237" spans="1:30" x14ac:dyDescent="0.25">
      <c r="A237">
        <v>231</v>
      </c>
      <c r="B237" s="1">
        <v>42986</v>
      </c>
      <c r="C237" s="33">
        <f t="shared" si="6"/>
        <v>42986</v>
      </c>
      <c r="D237" s="34">
        <f t="shared" si="7"/>
        <v>42986</v>
      </c>
      <c r="E237" s="35" t="s">
        <v>1455</v>
      </c>
      <c r="F237" s="2">
        <v>0.88055555555555554</v>
      </c>
      <c r="G237" s="3" t="s">
        <v>27</v>
      </c>
      <c r="H237" s="3" t="s">
        <v>40</v>
      </c>
      <c r="I237" s="25" t="str">
        <f>VLOOKUP(H237,Tabla5[#All],4,FALSE)</f>
        <v>-31,334500143441, -64,2460773260564</v>
      </c>
      <c r="J237" s="1">
        <v>33638</v>
      </c>
      <c r="K237" s="7">
        <f>INT((crimenes_cordoba_ampliado[[#This Row],[Fecha]]-crimenes_cordoba_ampliado[[#This Row],[Fecha Nac. Delincuente]])/365)</f>
        <v>25</v>
      </c>
      <c r="L237" s="7" t="str">
        <f>_xlfn.XLOOKUP(crimenes_cordoba_ampliado[[#This Row],[EDAD DELINCUENTE]],'Rango etareo'!$A$10:$A$25,'Rango etareo'!$B$10:$B$25,,-1)</f>
        <v>18 - 25</v>
      </c>
      <c r="M237" s="3" t="s">
        <v>22</v>
      </c>
      <c r="N237" s="3" t="str">
        <f>IF(crimenes_cordoba_ampliado[[#This Row],[Género Delincuente]]="Femenino","🚺","🚹")</f>
        <v>🚹</v>
      </c>
      <c r="O237">
        <v>2</v>
      </c>
      <c r="P237" s="1">
        <v>19201</v>
      </c>
      <c r="Q237" s="7">
        <f>INT((crimenes_cordoba_ampliado[[#This Row],[Fecha]]-crimenes_cordoba_ampliado[[#This Row],[Fecha Nac. Víctima]])/365)</f>
        <v>65</v>
      </c>
      <c r="R237" s="7" t="str">
        <f>_xlfn.XLOOKUP(crimenes_cordoba_ampliado[[#This Row],[EDAD VICTIMA]],'Rango etareo'!$A$2:$A$25,'Rango etareo'!$B$2:$B$25,,-1)</f>
        <v>&gt;65</v>
      </c>
      <c r="S237" s="3" t="s">
        <v>21</v>
      </c>
      <c r="T237" s="3" t="str">
        <f>IF(crimenes_cordoba_ampliado[[#This Row],[Género Víctima]]="Masculino","🚹","🚺")</f>
        <v>🚺</v>
      </c>
      <c r="U237">
        <v>1</v>
      </c>
      <c r="V237" s="3" t="s">
        <v>25</v>
      </c>
      <c r="W237" s="3" t="s">
        <v>63</v>
      </c>
      <c r="X237" s="3" t="s">
        <v>29</v>
      </c>
      <c r="Y237" s="3" t="s">
        <v>24</v>
      </c>
      <c r="Z237" s="3" t="s">
        <v>23</v>
      </c>
      <c r="AA237" s="3" t="s">
        <v>25</v>
      </c>
      <c r="AB237" s="3" t="str">
        <f>IF(crimenes_cordoba_ampliado[[#This Row],[Hubo Arresto]]="Sí", "Resuelto", "Pendiente")</f>
        <v>Pendiente</v>
      </c>
      <c r="AC237" s="3" t="s">
        <v>24</v>
      </c>
      <c r="AD237" s="3"/>
    </row>
    <row r="238" spans="1:30" x14ac:dyDescent="0.25">
      <c r="A238">
        <v>236</v>
      </c>
      <c r="B238" s="1">
        <v>44732</v>
      </c>
      <c r="C238" s="33">
        <f t="shared" si="6"/>
        <v>44732</v>
      </c>
      <c r="D238" s="34">
        <f t="shared" si="7"/>
        <v>44732</v>
      </c>
      <c r="E238" s="35" t="s">
        <v>1452</v>
      </c>
      <c r="F238" s="2">
        <v>0.65347222222222223</v>
      </c>
      <c r="G238" s="3" t="s">
        <v>19</v>
      </c>
      <c r="H238" s="3" t="s">
        <v>32</v>
      </c>
      <c r="I238" s="25" t="str">
        <f>VLOOKUP(H238,Tabla5[#All],4,FALSE)</f>
        <v>-31,4148488101991, -64,1793406489438</v>
      </c>
      <c r="J238" s="1">
        <v>31676</v>
      </c>
      <c r="K238" s="7">
        <f>INT((crimenes_cordoba_ampliado[[#This Row],[Fecha]]-crimenes_cordoba_ampliado[[#This Row],[Fecha Nac. Delincuente]])/365)</f>
        <v>35</v>
      </c>
      <c r="L238" s="7" t="str">
        <f>_xlfn.XLOOKUP(crimenes_cordoba_ampliado[[#This Row],[EDAD DELINCUENTE]],'Rango etareo'!$A$10:$A$25,'Rango etareo'!$B$10:$B$25,,-1)</f>
        <v>26 - 35</v>
      </c>
      <c r="M238" s="3" t="s">
        <v>22</v>
      </c>
      <c r="N238" s="3" t="str">
        <f>IF(crimenes_cordoba_ampliado[[#This Row],[Género Delincuente]]="Femenino","🚺","🚹")</f>
        <v>🚹</v>
      </c>
      <c r="O238">
        <v>5</v>
      </c>
      <c r="P238" s="1">
        <v>30203</v>
      </c>
      <c r="Q238" s="7">
        <f>INT((crimenes_cordoba_ampliado[[#This Row],[Fecha]]-crimenes_cordoba_ampliado[[#This Row],[Fecha Nac. Víctima]])/365)</f>
        <v>39</v>
      </c>
      <c r="R238" s="7" t="str">
        <f>_xlfn.XLOOKUP(crimenes_cordoba_ampliado[[#This Row],[EDAD VICTIMA]],'Rango etareo'!$A$2:$A$25,'Rango etareo'!$B$2:$B$25,,-1)</f>
        <v>36 - 45</v>
      </c>
      <c r="S238" s="3" t="s">
        <v>22</v>
      </c>
      <c r="T238" s="3" t="str">
        <f>IF(crimenes_cordoba_ampliado[[#This Row],[Género Víctima]]="Masculino","🚹","🚺")</f>
        <v>🚹</v>
      </c>
      <c r="U238">
        <v>3</v>
      </c>
      <c r="V238" s="3" t="s">
        <v>23</v>
      </c>
      <c r="W238" s="3" t="s">
        <v>24</v>
      </c>
      <c r="X238" s="3" t="s">
        <v>50</v>
      </c>
      <c r="Y238" s="3" t="s">
        <v>24</v>
      </c>
      <c r="Z238" s="3" t="s">
        <v>25</v>
      </c>
      <c r="AA238" s="3" t="s">
        <v>25</v>
      </c>
      <c r="AB238" s="3" t="str">
        <f>IF(crimenes_cordoba_ampliado[[#This Row],[Hubo Arresto]]="Sí", "Resuelto", "Pendiente")</f>
        <v>Resuelto</v>
      </c>
      <c r="AC238" s="3" t="s">
        <v>61</v>
      </c>
      <c r="AD238" s="3"/>
    </row>
    <row r="239" spans="1:30" x14ac:dyDescent="0.25">
      <c r="A239">
        <v>879</v>
      </c>
      <c r="B239" s="1">
        <v>42992</v>
      </c>
      <c r="C239" s="33">
        <f t="shared" si="6"/>
        <v>42992</v>
      </c>
      <c r="D239" s="34">
        <f t="shared" si="7"/>
        <v>42992</v>
      </c>
      <c r="E239" s="35" t="s">
        <v>1454</v>
      </c>
      <c r="F239" s="2">
        <v>0.73611111111111116</v>
      </c>
      <c r="G239" s="3" t="s">
        <v>35</v>
      </c>
      <c r="H239" s="3" t="s">
        <v>62</v>
      </c>
      <c r="I239" s="25" t="str">
        <f>VLOOKUP(H239,Tabla5[#All],4,FALSE)</f>
        <v>-31,3909520937826, -64,1836424491715</v>
      </c>
      <c r="J239" s="1">
        <v>23882</v>
      </c>
      <c r="K239" s="7">
        <f>INT((crimenes_cordoba_ampliado[[#This Row],[Fecha]]-crimenes_cordoba_ampliado[[#This Row],[Fecha Nac. Delincuente]])/365)</f>
        <v>52</v>
      </c>
      <c r="L239" s="7" t="str">
        <f>_xlfn.XLOOKUP(crimenes_cordoba_ampliado[[#This Row],[EDAD DELINCUENTE]],'Rango etareo'!$A$10:$A$25,'Rango etareo'!$B$10:$B$25,,-1)</f>
        <v>46 - 55</v>
      </c>
      <c r="M239" s="3" t="s">
        <v>22</v>
      </c>
      <c r="N239" s="3" t="str">
        <f>IF(crimenes_cordoba_ampliado[[#This Row],[Género Delincuente]]="Femenino","🚺","🚹")</f>
        <v>🚹</v>
      </c>
      <c r="O239">
        <v>4</v>
      </c>
      <c r="P239" s="1">
        <v>18056</v>
      </c>
      <c r="Q239" s="7">
        <f>INT((crimenes_cordoba_ampliado[[#This Row],[Fecha]]-crimenes_cordoba_ampliado[[#This Row],[Fecha Nac. Víctima]])/365)</f>
        <v>68</v>
      </c>
      <c r="R239" s="7" t="str">
        <f>_xlfn.XLOOKUP(crimenes_cordoba_ampliado[[#This Row],[EDAD VICTIMA]],'Rango etareo'!$A$2:$A$25,'Rango etareo'!$B$2:$B$25,,-1)</f>
        <v>&gt;65</v>
      </c>
      <c r="S239" s="3" t="s">
        <v>22</v>
      </c>
      <c r="T239" s="3" t="str">
        <f>IF(crimenes_cordoba_ampliado[[#This Row],[Género Víctima]]="Masculino","🚹","🚺")</f>
        <v>🚹</v>
      </c>
      <c r="U239">
        <v>1</v>
      </c>
      <c r="V239" s="3" t="s">
        <v>25</v>
      </c>
      <c r="W239" s="3" t="s">
        <v>24</v>
      </c>
      <c r="X239" s="3" t="s">
        <v>24</v>
      </c>
      <c r="Y239" s="3" t="s">
        <v>89</v>
      </c>
      <c r="Z239" s="3" t="s">
        <v>23</v>
      </c>
      <c r="AA239" s="3" t="s">
        <v>25</v>
      </c>
      <c r="AB239" s="3" t="str">
        <f>IF(crimenes_cordoba_ampliado[[#This Row],[Hubo Arresto]]="Sí", "Resuelto", "Pendiente")</f>
        <v>Pendiente</v>
      </c>
      <c r="AC239" s="3" t="s">
        <v>24</v>
      </c>
      <c r="AD239" s="3"/>
    </row>
    <row r="240" spans="1:30" x14ac:dyDescent="0.25">
      <c r="A240">
        <v>237</v>
      </c>
      <c r="B240" s="1">
        <v>44442</v>
      </c>
      <c r="C240" s="33">
        <f t="shared" si="6"/>
        <v>44442</v>
      </c>
      <c r="D240" s="34">
        <f t="shared" si="7"/>
        <v>44442</v>
      </c>
      <c r="E240" s="35" t="s">
        <v>1455</v>
      </c>
      <c r="F240" s="2">
        <v>0.82777777777777772</v>
      </c>
      <c r="G240" s="3" t="s">
        <v>42</v>
      </c>
      <c r="H240" s="3" t="s">
        <v>20</v>
      </c>
      <c r="I240" s="25" t="str">
        <f>VLOOKUP(H240,Tabla5[#All],4,FALSE)</f>
        <v>-31,4800162965848, -64,2094200976892</v>
      </c>
      <c r="J240" s="1">
        <v>28527</v>
      </c>
      <c r="K240" s="7">
        <f>INT((crimenes_cordoba_ampliado[[#This Row],[Fecha]]-crimenes_cordoba_ampliado[[#This Row],[Fecha Nac. Delincuente]])/365)</f>
        <v>43</v>
      </c>
      <c r="L240" s="7" t="str">
        <f>_xlfn.XLOOKUP(crimenes_cordoba_ampliado[[#This Row],[EDAD DELINCUENTE]],'Rango etareo'!$A$10:$A$25,'Rango etareo'!$B$10:$B$25,,-1)</f>
        <v>36 - 45</v>
      </c>
      <c r="M240" s="3" t="s">
        <v>22</v>
      </c>
      <c r="N240" s="3" t="str">
        <f>IF(crimenes_cordoba_ampliado[[#This Row],[Género Delincuente]]="Femenino","🚺","🚹")</f>
        <v>🚹</v>
      </c>
      <c r="O240">
        <v>4</v>
      </c>
      <c r="P240" s="1">
        <v>38833</v>
      </c>
      <c r="Q240" s="7">
        <f>INT((crimenes_cordoba_ampliado[[#This Row],[Fecha]]-crimenes_cordoba_ampliado[[#This Row],[Fecha Nac. Víctima]])/365)</f>
        <v>15</v>
      </c>
      <c r="R240" s="7" t="str">
        <f>_xlfn.XLOOKUP(crimenes_cordoba_ampliado[[#This Row],[EDAD VICTIMA]],'Rango etareo'!$A$2:$A$25,'Rango etareo'!$B$2:$B$25,,-1)</f>
        <v>&lt;=17</v>
      </c>
      <c r="S240" s="3" t="s">
        <v>22</v>
      </c>
      <c r="T240" s="3" t="str">
        <f>IF(crimenes_cordoba_ampliado[[#This Row],[Género Víctima]]="Masculino","🚹","🚺")</f>
        <v>🚹</v>
      </c>
      <c r="U240">
        <v>2</v>
      </c>
      <c r="V240" s="3" t="s">
        <v>23</v>
      </c>
      <c r="W240" s="3" t="s">
        <v>83</v>
      </c>
      <c r="X240" s="3" t="s">
        <v>24</v>
      </c>
      <c r="Y240" s="3" t="s">
        <v>101</v>
      </c>
      <c r="Z240" s="3" t="s">
        <v>23</v>
      </c>
      <c r="AA240" s="3" t="s">
        <v>23</v>
      </c>
      <c r="AB240" s="3" t="str">
        <f>IF(crimenes_cordoba_ampliado[[#This Row],[Hubo Arresto]]="Sí", "Resuelto", "Pendiente")</f>
        <v>Resuelto</v>
      </c>
      <c r="AC240" s="3" t="s">
        <v>160</v>
      </c>
      <c r="AD240" s="3"/>
    </row>
    <row r="241" spans="1:30" x14ac:dyDescent="0.25">
      <c r="A241">
        <v>240</v>
      </c>
      <c r="B241" s="1">
        <v>43911</v>
      </c>
      <c r="C241" s="33">
        <f t="shared" si="6"/>
        <v>43911</v>
      </c>
      <c r="D241" s="34">
        <f t="shared" si="7"/>
        <v>43911</v>
      </c>
      <c r="E241" s="35" t="s">
        <v>1451</v>
      </c>
      <c r="F241" s="2">
        <v>0.78611111111111109</v>
      </c>
      <c r="G241" s="3" t="s">
        <v>27</v>
      </c>
      <c r="H241" s="3" t="s">
        <v>62</v>
      </c>
      <c r="I241" s="25" t="str">
        <f>VLOOKUP(H241,Tabla5[#All],4,FALSE)</f>
        <v>-31,3909520937826, -64,1836424491715</v>
      </c>
      <c r="J241" s="1">
        <v>31292</v>
      </c>
      <c r="K241" s="7">
        <f>INT((crimenes_cordoba_ampliado[[#This Row],[Fecha]]-crimenes_cordoba_ampliado[[#This Row],[Fecha Nac. Delincuente]])/365)</f>
        <v>34</v>
      </c>
      <c r="L241" s="7" t="str">
        <f>_xlfn.XLOOKUP(crimenes_cordoba_ampliado[[#This Row],[EDAD DELINCUENTE]],'Rango etareo'!$A$10:$A$25,'Rango etareo'!$B$10:$B$25,,-1)</f>
        <v>26 - 35</v>
      </c>
      <c r="M241" s="3" t="s">
        <v>22</v>
      </c>
      <c r="N241" s="3" t="str">
        <f>IF(crimenes_cordoba_ampliado[[#This Row],[Género Delincuente]]="Femenino","🚺","🚹")</f>
        <v>🚹</v>
      </c>
      <c r="O241">
        <v>5</v>
      </c>
      <c r="P241" s="1">
        <v>30866</v>
      </c>
      <c r="Q241" s="7">
        <f>INT((crimenes_cordoba_ampliado[[#This Row],[Fecha]]-crimenes_cordoba_ampliado[[#This Row],[Fecha Nac. Víctima]])/365)</f>
        <v>35</v>
      </c>
      <c r="R241" s="7" t="str">
        <f>_xlfn.XLOOKUP(crimenes_cordoba_ampliado[[#This Row],[EDAD VICTIMA]],'Rango etareo'!$A$2:$A$25,'Rango etareo'!$B$2:$B$25,,-1)</f>
        <v>26 - 35</v>
      </c>
      <c r="S241" s="3" t="s">
        <v>22</v>
      </c>
      <c r="T241" s="3" t="str">
        <f>IF(crimenes_cordoba_ampliado[[#This Row],[Género Víctima]]="Masculino","🚹","🚺")</f>
        <v>🚹</v>
      </c>
      <c r="U241">
        <v>2</v>
      </c>
      <c r="V241" s="3" t="s">
        <v>23</v>
      </c>
      <c r="W241" s="3" t="s">
        <v>63</v>
      </c>
      <c r="X241" s="3" t="s">
        <v>50</v>
      </c>
      <c r="Y241" s="3" t="s">
        <v>24</v>
      </c>
      <c r="Z241" s="3" t="s">
        <v>23</v>
      </c>
      <c r="AA241" s="3" t="s">
        <v>25</v>
      </c>
      <c r="AB241" s="3" t="str">
        <f>IF(crimenes_cordoba_ampliado[[#This Row],[Hubo Arresto]]="Sí", "Resuelto", "Pendiente")</f>
        <v>Resuelto</v>
      </c>
      <c r="AC241" s="3" t="s">
        <v>146</v>
      </c>
      <c r="AD241" s="3"/>
    </row>
    <row r="242" spans="1:30" x14ac:dyDescent="0.25">
      <c r="A242">
        <v>241</v>
      </c>
      <c r="B242" s="1">
        <v>43283</v>
      </c>
      <c r="C242" s="33">
        <f t="shared" si="6"/>
        <v>43283</v>
      </c>
      <c r="D242" s="34">
        <f t="shared" si="7"/>
        <v>43283</v>
      </c>
      <c r="E242" s="35" t="s">
        <v>1452</v>
      </c>
      <c r="F242" s="2">
        <v>0.81388888888888888</v>
      </c>
      <c r="G242" s="3" t="s">
        <v>19</v>
      </c>
      <c r="H242" s="3" t="s">
        <v>52</v>
      </c>
      <c r="I242" s="25" t="str">
        <f>VLOOKUP(H242,Tabla5[#All],4,FALSE)</f>
        <v>-31,3477902896523, -64,2644406169297</v>
      </c>
      <c r="J242" s="1">
        <v>26367</v>
      </c>
      <c r="K242" s="7">
        <f>INT((crimenes_cordoba_ampliado[[#This Row],[Fecha]]-crimenes_cordoba_ampliado[[#This Row],[Fecha Nac. Delincuente]])/365)</f>
        <v>46</v>
      </c>
      <c r="L242" s="7" t="str">
        <f>_xlfn.XLOOKUP(crimenes_cordoba_ampliado[[#This Row],[EDAD DELINCUENTE]],'Rango etareo'!$A$10:$A$25,'Rango etareo'!$B$10:$B$25,,-1)</f>
        <v>46 - 55</v>
      </c>
      <c r="M242" s="3" t="s">
        <v>21</v>
      </c>
      <c r="N242" s="3" t="str">
        <f>IF(crimenes_cordoba_ampliado[[#This Row],[Género Delincuente]]="Femenino","🚺","🚹")</f>
        <v>🚺</v>
      </c>
      <c r="O242">
        <v>4</v>
      </c>
      <c r="P242" s="1">
        <v>30328</v>
      </c>
      <c r="Q242" s="7">
        <f>INT((crimenes_cordoba_ampliado[[#This Row],[Fecha]]-crimenes_cordoba_ampliado[[#This Row],[Fecha Nac. Víctima]])/365)</f>
        <v>35</v>
      </c>
      <c r="R242" s="7" t="str">
        <f>_xlfn.XLOOKUP(crimenes_cordoba_ampliado[[#This Row],[EDAD VICTIMA]],'Rango etareo'!$A$2:$A$25,'Rango etareo'!$B$2:$B$25,,-1)</f>
        <v>26 - 35</v>
      </c>
      <c r="S242" s="3" t="s">
        <v>21</v>
      </c>
      <c r="T242" s="3" t="str">
        <f>IF(crimenes_cordoba_ampliado[[#This Row],[Género Víctima]]="Masculino","🚹","🚺")</f>
        <v>🚺</v>
      </c>
      <c r="U242">
        <v>2</v>
      </c>
      <c r="V242" s="3" t="s">
        <v>23</v>
      </c>
      <c r="W242" s="3" t="s">
        <v>36</v>
      </c>
      <c r="X242" s="3" t="s">
        <v>24</v>
      </c>
      <c r="Y242" s="3" t="s">
        <v>101</v>
      </c>
      <c r="Z242" s="3" t="s">
        <v>25</v>
      </c>
      <c r="AA242" s="3" t="s">
        <v>23</v>
      </c>
      <c r="AB242" s="3" t="str">
        <f>IF(crimenes_cordoba_ampliado[[#This Row],[Hubo Arresto]]="Sí", "Resuelto", "Pendiente")</f>
        <v>Resuelto</v>
      </c>
      <c r="AC242" s="3" t="s">
        <v>177</v>
      </c>
      <c r="AD242" s="3"/>
    </row>
    <row r="243" spans="1:30" x14ac:dyDescent="0.25">
      <c r="A243">
        <v>354</v>
      </c>
      <c r="B243" s="1">
        <v>43004</v>
      </c>
      <c r="C243" s="33">
        <f t="shared" si="6"/>
        <v>43004</v>
      </c>
      <c r="D243" s="34">
        <f t="shared" si="7"/>
        <v>43004</v>
      </c>
      <c r="E243" s="35" t="s">
        <v>1453</v>
      </c>
      <c r="F243" s="2">
        <v>0.7993055555555556</v>
      </c>
      <c r="G243" s="3" t="s">
        <v>81</v>
      </c>
      <c r="H243" s="3" t="s">
        <v>52</v>
      </c>
      <c r="I243" s="25" t="str">
        <f>VLOOKUP(H243,Tabla5[#All],4,FALSE)</f>
        <v>-31,3477902896523, -64,2644406169297</v>
      </c>
      <c r="J243" s="1">
        <v>18470</v>
      </c>
      <c r="K243" s="7">
        <f>INT((crimenes_cordoba_ampliado[[#This Row],[Fecha]]-crimenes_cordoba_ampliado[[#This Row],[Fecha Nac. Delincuente]])/365)</f>
        <v>67</v>
      </c>
      <c r="L243" s="7" t="str">
        <f>_xlfn.XLOOKUP(crimenes_cordoba_ampliado[[#This Row],[EDAD DELINCUENTE]],'Rango etareo'!$A$10:$A$25,'Rango etareo'!$B$10:$B$25,,-1)</f>
        <v>&gt;65</v>
      </c>
      <c r="M243" s="3" t="s">
        <v>22</v>
      </c>
      <c r="N243" s="3" t="str">
        <f>IF(crimenes_cordoba_ampliado[[#This Row],[Género Delincuente]]="Femenino","🚺","🚹")</f>
        <v>🚹</v>
      </c>
      <c r="O243">
        <v>4</v>
      </c>
      <c r="P243" s="1">
        <v>36413</v>
      </c>
      <c r="Q243" s="7">
        <f>INT((crimenes_cordoba_ampliado[[#This Row],[Fecha]]-crimenes_cordoba_ampliado[[#This Row],[Fecha Nac. Víctima]])/365)</f>
        <v>18</v>
      </c>
      <c r="R243" s="7" t="str">
        <f>_xlfn.XLOOKUP(crimenes_cordoba_ampliado[[#This Row],[EDAD VICTIMA]],'Rango etareo'!$A$2:$A$25,'Rango etareo'!$B$2:$B$25,,-1)</f>
        <v>18 - 25</v>
      </c>
      <c r="S243" s="3" t="s">
        <v>21</v>
      </c>
      <c r="T243" s="3" t="str">
        <f>IF(crimenes_cordoba_ampliado[[#This Row],[Género Víctima]]="Masculino","🚹","🚺")</f>
        <v>🚺</v>
      </c>
      <c r="U243">
        <v>2</v>
      </c>
      <c r="V243" s="3" t="s">
        <v>25</v>
      </c>
      <c r="W243" s="3" t="s">
        <v>24</v>
      </c>
      <c r="X243" s="3" t="s">
        <v>24</v>
      </c>
      <c r="Y243" s="3" t="s">
        <v>106</v>
      </c>
      <c r="Z243" s="3" t="s">
        <v>25</v>
      </c>
      <c r="AA243" s="3" t="s">
        <v>23</v>
      </c>
      <c r="AB243" s="3" t="str">
        <f>IF(crimenes_cordoba_ampliado[[#This Row],[Hubo Arresto]]="Sí", "Resuelto", "Pendiente")</f>
        <v>Pendiente</v>
      </c>
      <c r="AC243" s="3" t="s">
        <v>24</v>
      </c>
      <c r="AD243" s="3"/>
    </row>
    <row r="244" spans="1:30" x14ac:dyDescent="0.25">
      <c r="A244">
        <v>680</v>
      </c>
      <c r="B244" s="1">
        <v>43004</v>
      </c>
      <c r="C244" s="33">
        <f t="shared" si="6"/>
        <v>43004</v>
      </c>
      <c r="D244" s="34">
        <f t="shared" si="7"/>
        <v>43004</v>
      </c>
      <c r="E244" s="35" t="s">
        <v>1453</v>
      </c>
      <c r="F244" s="2">
        <v>0.43125000000000002</v>
      </c>
      <c r="G244" s="3" t="s">
        <v>81</v>
      </c>
      <c r="H244" s="3" t="s">
        <v>40</v>
      </c>
      <c r="I244" s="25" t="str">
        <f>VLOOKUP(H244,Tabla5[#All],4,FALSE)</f>
        <v>-31,334500143441, -64,2460773260564</v>
      </c>
      <c r="J244" s="1">
        <v>30847</v>
      </c>
      <c r="K244" s="7">
        <f>INT((crimenes_cordoba_ampliado[[#This Row],[Fecha]]-crimenes_cordoba_ampliado[[#This Row],[Fecha Nac. Delincuente]])/365)</f>
        <v>33</v>
      </c>
      <c r="L244" s="7" t="str">
        <f>_xlfn.XLOOKUP(crimenes_cordoba_ampliado[[#This Row],[EDAD DELINCUENTE]],'Rango etareo'!$A$10:$A$25,'Rango etareo'!$B$10:$B$25,,-1)</f>
        <v>26 - 35</v>
      </c>
      <c r="M244" s="3" t="s">
        <v>21</v>
      </c>
      <c r="N244" s="3" t="str">
        <f>IF(crimenes_cordoba_ampliado[[#This Row],[Género Delincuente]]="Femenino","🚺","🚹")</f>
        <v>🚺</v>
      </c>
      <c r="O244">
        <v>2</v>
      </c>
      <c r="P244" s="1">
        <v>21091</v>
      </c>
      <c r="Q244" s="7">
        <f>INT((crimenes_cordoba_ampliado[[#This Row],[Fecha]]-crimenes_cordoba_ampliado[[#This Row],[Fecha Nac. Víctima]])/365)</f>
        <v>60</v>
      </c>
      <c r="R244" s="7" t="str">
        <f>_xlfn.XLOOKUP(crimenes_cordoba_ampliado[[#This Row],[EDAD VICTIMA]],'Rango etareo'!$A$2:$A$25,'Rango etareo'!$B$2:$B$25,,-1)</f>
        <v>56 - 65</v>
      </c>
      <c r="S244" s="3" t="s">
        <v>22</v>
      </c>
      <c r="T244" s="3" t="str">
        <f>IF(crimenes_cordoba_ampliado[[#This Row],[Género Víctima]]="Masculino","🚹","🚺")</f>
        <v>🚹</v>
      </c>
      <c r="U244">
        <v>2</v>
      </c>
      <c r="V244" s="3" t="s">
        <v>25</v>
      </c>
      <c r="W244" s="3" t="s">
        <v>24</v>
      </c>
      <c r="X244" s="3" t="s">
        <v>24</v>
      </c>
      <c r="Y244" s="3" t="s">
        <v>69</v>
      </c>
      <c r="Z244" s="3" t="s">
        <v>23</v>
      </c>
      <c r="AA244" s="3" t="s">
        <v>23</v>
      </c>
      <c r="AB244" s="3" t="str">
        <f>IF(crimenes_cordoba_ampliado[[#This Row],[Hubo Arresto]]="Sí", "Resuelto", "Pendiente")</f>
        <v>Pendiente</v>
      </c>
      <c r="AC244" s="3" t="s">
        <v>24</v>
      </c>
      <c r="AD244" s="3"/>
    </row>
    <row r="245" spans="1:30" x14ac:dyDescent="0.25">
      <c r="A245">
        <v>790</v>
      </c>
      <c r="B245" s="1">
        <v>43011</v>
      </c>
      <c r="C245" s="33">
        <f t="shared" si="6"/>
        <v>43011</v>
      </c>
      <c r="D245" s="34">
        <f t="shared" si="7"/>
        <v>43011</v>
      </c>
      <c r="E245" s="35" t="s">
        <v>1453</v>
      </c>
      <c r="F245" s="2">
        <v>0.50208333333333333</v>
      </c>
      <c r="G245" s="3" t="s">
        <v>51</v>
      </c>
      <c r="H245" s="3" t="s">
        <v>32</v>
      </c>
      <c r="I245" s="25" t="str">
        <f>VLOOKUP(H245,Tabla5[#All],4,FALSE)</f>
        <v>-31,4148488101991, -64,1793406489438</v>
      </c>
      <c r="J245" s="1">
        <v>33351</v>
      </c>
      <c r="K245" s="7">
        <f>INT((crimenes_cordoba_ampliado[[#This Row],[Fecha]]-crimenes_cordoba_ampliado[[#This Row],[Fecha Nac. Delincuente]])/365)</f>
        <v>26</v>
      </c>
      <c r="L245" s="7" t="str">
        <f>_xlfn.XLOOKUP(crimenes_cordoba_ampliado[[#This Row],[EDAD DELINCUENTE]],'Rango etareo'!$A$10:$A$25,'Rango etareo'!$B$10:$B$25,,-1)</f>
        <v>26 - 35</v>
      </c>
      <c r="M245" s="3" t="s">
        <v>22</v>
      </c>
      <c r="N245" s="3" t="str">
        <f>IF(crimenes_cordoba_ampliado[[#This Row],[Género Delincuente]]="Femenino","🚺","🚹")</f>
        <v>🚹</v>
      </c>
      <c r="O245">
        <v>5</v>
      </c>
      <c r="P245" s="1">
        <v>30898</v>
      </c>
      <c r="Q245" s="7">
        <f>INT((crimenes_cordoba_ampliado[[#This Row],[Fecha]]-crimenes_cordoba_ampliado[[#This Row],[Fecha Nac. Víctima]])/365)</f>
        <v>33</v>
      </c>
      <c r="R245" s="7" t="str">
        <f>_xlfn.XLOOKUP(crimenes_cordoba_ampliado[[#This Row],[EDAD VICTIMA]],'Rango etareo'!$A$2:$A$25,'Rango etareo'!$B$2:$B$25,,-1)</f>
        <v>26 - 35</v>
      </c>
      <c r="S245" s="3" t="s">
        <v>22</v>
      </c>
      <c r="T245" s="3" t="str">
        <f>IF(crimenes_cordoba_ampliado[[#This Row],[Género Víctima]]="Masculino","🚹","🚺")</f>
        <v>🚹</v>
      </c>
      <c r="U245">
        <v>1</v>
      </c>
      <c r="V245" s="3" t="s">
        <v>25</v>
      </c>
      <c r="W245" s="3" t="s">
        <v>24</v>
      </c>
      <c r="X245" s="3" t="s">
        <v>24</v>
      </c>
      <c r="Y245" s="3" t="s">
        <v>24</v>
      </c>
      <c r="Z245" s="3" t="s">
        <v>25</v>
      </c>
      <c r="AA245" s="3" t="s">
        <v>23</v>
      </c>
      <c r="AB245" s="3" t="str">
        <f>IF(crimenes_cordoba_ampliado[[#This Row],[Hubo Arresto]]="Sí", "Resuelto", "Pendiente")</f>
        <v>Pendiente</v>
      </c>
      <c r="AC245" s="3" t="s">
        <v>24</v>
      </c>
      <c r="AD245" s="3"/>
    </row>
    <row r="246" spans="1:30" x14ac:dyDescent="0.25">
      <c r="A246">
        <v>213</v>
      </c>
      <c r="B246" s="1">
        <v>43014</v>
      </c>
      <c r="C246" s="33">
        <f t="shared" si="6"/>
        <v>43014</v>
      </c>
      <c r="D246" s="34">
        <f t="shared" si="7"/>
        <v>43014</v>
      </c>
      <c r="E246" s="35" t="s">
        <v>1455</v>
      </c>
      <c r="F246" s="2">
        <v>0.91111111111111109</v>
      </c>
      <c r="G246" s="3" t="s">
        <v>19</v>
      </c>
      <c r="H246" s="3" t="s">
        <v>49</v>
      </c>
      <c r="I246" s="25" t="str">
        <f>VLOOKUP(H246,Tabla5[#All],4,FALSE)</f>
        <v>-31,4506257494184, -64,1733054344705</v>
      </c>
      <c r="J246" s="1">
        <v>21042</v>
      </c>
      <c r="K246" s="7">
        <f>INT((crimenes_cordoba_ampliado[[#This Row],[Fecha]]-crimenes_cordoba_ampliado[[#This Row],[Fecha Nac. Delincuente]])/365)</f>
        <v>60</v>
      </c>
      <c r="L246" s="7" t="str">
        <f>_xlfn.XLOOKUP(crimenes_cordoba_ampliado[[#This Row],[EDAD DELINCUENTE]],'Rango etareo'!$A$10:$A$25,'Rango etareo'!$B$10:$B$25,,-1)</f>
        <v>56 - 65</v>
      </c>
      <c r="M246" s="3" t="s">
        <v>22</v>
      </c>
      <c r="N246" s="3" t="str">
        <f>IF(crimenes_cordoba_ampliado[[#This Row],[Género Delincuente]]="Femenino","🚺","🚹")</f>
        <v>🚹</v>
      </c>
      <c r="O246">
        <v>1</v>
      </c>
      <c r="P246" s="1">
        <v>28200</v>
      </c>
      <c r="Q246" s="7">
        <f>INT((crimenes_cordoba_ampliado[[#This Row],[Fecha]]-crimenes_cordoba_ampliado[[#This Row],[Fecha Nac. Víctima]])/365)</f>
        <v>40</v>
      </c>
      <c r="R246" s="7" t="str">
        <f>_xlfn.XLOOKUP(crimenes_cordoba_ampliado[[#This Row],[EDAD VICTIMA]],'Rango etareo'!$A$2:$A$25,'Rango etareo'!$B$2:$B$25,,-1)</f>
        <v>36 - 45</v>
      </c>
      <c r="S246" s="3" t="s">
        <v>21</v>
      </c>
      <c r="T246" s="3" t="str">
        <f>IF(crimenes_cordoba_ampliado[[#This Row],[Género Víctima]]="Masculino","🚹","🚺")</f>
        <v>🚺</v>
      </c>
      <c r="U246">
        <v>1</v>
      </c>
      <c r="V246" s="3" t="s">
        <v>25</v>
      </c>
      <c r="W246" s="3" t="s">
        <v>71</v>
      </c>
      <c r="X246" s="3" t="s">
        <v>29</v>
      </c>
      <c r="Y246" s="3" t="s">
        <v>24</v>
      </c>
      <c r="Z246" s="3" t="s">
        <v>23</v>
      </c>
      <c r="AA246" s="3" t="s">
        <v>25</v>
      </c>
      <c r="AB246" s="3" t="str">
        <f>IF(crimenes_cordoba_ampliado[[#This Row],[Hubo Arresto]]="Sí", "Resuelto", "Pendiente")</f>
        <v>Pendiente</v>
      </c>
      <c r="AC246" s="3" t="s">
        <v>24</v>
      </c>
      <c r="AD246" s="3"/>
    </row>
    <row r="247" spans="1:30" x14ac:dyDescent="0.25">
      <c r="A247">
        <v>155</v>
      </c>
      <c r="B247" s="1">
        <v>43018</v>
      </c>
      <c r="C247" s="33">
        <f t="shared" si="6"/>
        <v>43018</v>
      </c>
      <c r="D247" s="34">
        <f t="shared" si="7"/>
        <v>43018</v>
      </c>
      <c r="E247" s="35" t="s">
        <v>1453</v>
      </c>
      <c r="F247" s="2">
        <v>0.19652777777777777</v>
      </c>
      <c r="G247" s="3" t="s">
        <v>35</v>
      </c>
      <c r="H247" s="3" t="s">
        <v>58</v>
      </c>
      <c r="I247" s="25" t="str">
        <f>VLOOKUP(H247,Tabla5[#All],4,FALSE)</f>
        <v>-31,423018915313, -64,1493562190664</v>
      </c>
      <c r="J247" s="1">
        <v>23933</v>
      </c>
      <c r="K247" s="7">
        <f>INT((crimenes_cordoba_ampliado[[#This Row],[Fecha]]-crimenes_cordoba_ampliado[[#This Row],[Fecha Nac. Delincuente]])/365)</f>
        <v>52</v>
      </c>
      <c r="L247" s="7" t="str">
        <f>_xlfn.XLOOKUP(crimenes_cordoba_ampliado[[#This Row],[EDAD DELINCUENTE]],'Rango etareo'!$A$10:$A$25,'Rango etareo'!$B$10:$B$25,,-1)</f>
        <v>46 - 55</v>
      </c>
      <c r="M247" s="3" t="s">
        <v>22</v>
      </c>
      <c r="N247" s="3" t="str">
        <f>IF(crimenes_cordoba_ampliado[[#This Row],[Género Delincuente]]="Femenino","🚺","🚹")</f>
        <v>🚹</v>
      </c>
      <c r="O247">
        <v>1</v>
      </c>
      <c r="P247" s="1">
        <v>28902</v>
      </c>
      <c r="Q247" s="7">
        <f>INT((crimenes_cordoba_ampliado[[#This Row],[Fecha]]-crimenes_cordoba_ampliado[[#This Row],[Fecha Nac. Víctima]])/365)</f>
        <v>38</v>
      </c>
      <c r="R247" s="7" t="str">
        <f>_xlfn.XLOOKUP(crimenes_cordoba_ampliado[[#This Row],[EDAD VICTIMA]],'Rango etareo'!$A$2:$A$25,'Rango etareo'!$B$2:$B$25,,-1)</f>
        <v>36 - 45</v>
      </c>
      <c r="S247" s="3" t="s">
        <v>21</v>
      </c>
      <c r="T247" s="3" t="str">
        <f>IF(crimenes_cordoba_ampliado[[#This Row],[Género Víctima]]="Masculino","🚹","🚺")</f>
        <v>🚺</v>
      </c>
      <c r="U247">
        <v>2</v>
      </c>
      <c r="V247" s="3" t="s">
        <v>25</v>
      </c>
      <c r="W247" s="3" t="s">
        <v>24</v>
      </c>
      <c r="X247" s="3" t="s">
        <v>24</v>
      </c>
      <c r="Y247" s="3" t="s">
        <v>53</v>
      </c>
      <c r="Z247" s="3" t="s">
        <v>25</v>
      </c>
      <c r="AA247" s="3" t="s">
        <v>25</v>
      </c>
      <c r="AB247" s="3" t="str">
        <f>IF(crimenes_cordoba_ampliado[[#This Row],[Hubo Arresto]]="Sí", "Resuelto", "Pendiente")</f>
        <v>Pendiente</v>
      </c>
      <c r="AC247" s="3" t="s">
        <v>24</v>
      </c>
      <c r="AD247" s="3"/>
    </row>
    <row r="248" spans="1:30" x14ac:dyDescent="0.25">
      <c r="A248">
        <v>242</v>
      </c>
      <c r="B248" s="1">
        <v>43675</v>
      </c>
      <c r="C248" s="33">
        <f t="shared" si="6"/>
        <v>43675</v>
      </c>
      <c r="D248" s="34">
        <f t="shared" si="7"/>
        <v>43675</v>
      </c>
      <c r="E248" s="35" t="s">
        <v>1452</v>
      </c>
      <c r="F248" s="2">
        <v>0.61041666666666672</v>
      </c>
      <c r="G248" s="3" t="s">
        <v>48</v>
      </c>
      <c r="H248" s="3" t="s">
        <v>58</v>
      </c>
      <c r="I248" s="25" t="str">
        <f>VLOOKUP(H248,Tabla5[#All],4,FALSE)</f>
        <v>-31,423018915313, -64,1493562190664</v>
      </c>
      <c r="J248" s="1">
        <v>31125</v>
      </c>
      <c r="K248" s="7">
        <f>INT((crimenes_cordoba_ampliado[[#This Row],[Fecha]]-crimenes_cordoba_ampliado[[#This Row],[Fecha Nac. Delincuente]])/365)</f>
        <v>34</v>
      </c>
      <c r="L248" s="7" t="str">
        <f>_xlfn.XLOOKUP(crimenes_cordoba_ampliado[[#This Row],[EDAD DELINCUENTE]],'Rango etareo'!$A$10:$A$25,'Rango etareo'!$B$10:$B$25,,-1)</f>
        <v>26 - 35</v>
      </c>
      <c r="M248" s="3" t="s">
        <v>22</v>
      </c>
      <c r="N248" s="3" t="str">
        <f>IF(crimenes_cordoba_ampliado[[#This Row],[Género Delincuente]]="Femenino","🚺","🚹")</f>
        <v>🚹</v>
      </c>
      <c r="O248">
        <v>2</v>
      </c>
      <c r="P248" s="1">
        <v>28236</v>
      </c>
      <c r="Q248" s="7">
        <f>INT((crimenes_cordoba_ampliado[[#This Row],[Fecha]]-crimenes_cordoba_ampliado[[#This Row],[Fecha Nac. Víctima]])/365)</f>
        <v>42</v>
      </c>
      <c r="R248" s="7" t="str">
        <f>_xlfn.XLOOKUP(crimenes_cordoba_ampliado[[#This Row],[EDAD VICTIMA]],'Rango etareo'!$A$2:$A$25,'Rango etareo'!$B$2:$B$25,,-1)</f>
        <v>36 - 45</v>
      </c>
      <c r="S248" s="3" t="s">
        <v>22</v>
      </c>
      <c r="T248" s="3" t="str">
        <f>IF(crimenes_cordoba_ampliado[[#This Row],[Género Víctima]]="Masculino","🚹","🚺")</f>
        <v>🚹</v>
      </c>
      <c r="U248">
        <v>2</v>
      </c>
      <c r="V248" s="3" t="s">
        <v>23</v>
      </c>
      <c r="W248" s="3" t="s">
        <v>24</v>
      </c>
      <c r="X248" s="3" t="s">
        <v>24</v>
      </c>
      <c r="Y248" s="3" t="s">
        <v>46</v>
      </c>
      <c r="Z248" s="3" t="s">
        <v>25</v>
      </c>
      <c r="AA248" s="3" t="s">
        <v>25</v>
      </c>
      <c r="AB248" s="3" t="str">
        <f>IF(crimenes_cordoba_ampliado[[#This Row],[Hubo Arresto]]="Sí", "Resuelto", "Pendiente")</f>
        <v>Resuelto</v>
      </c>
      <c r="AC248" s="3" t="s">
        <v>178</v>
      </c>
      <c r="AD248" s="3"/>
    </row>
    <row r="249" spans="1:30" x14ac:dyDescent="0.25">
      <c r="A249">
        <v>621</v>
      </c>
      <c r="B249" s="1">
        <v>43020</v>
      </c>
      <c r="C249" s="33">
        <f t="shared" si="6"/>
        <v>43020</v>
      </c>
      <c r="D249" s="34">
        <f t="shared" si="7"/>
        <v>43020</v>
      </c>
      <c r="E249" s="35" t="s">
        <v>1454</v>
      </c>
      <c r="F249" s="2">
        <v>0.68472222222222223</v>
      </c>
      <c r="G249" s="3" t="s">
        <v>35</v>
      </c>
      <c r="H249" s="3" t="s">
        <v>40</v>
      </c>
      <c r="I249" s="25" t="str">
        <f>VLOOKUP(H249,Tabla5[#All],4,FALSE)</f>
        <v>-31,334500143441, -64,2460773260564</v>
      </c>
      <c r="J249" s="1">
        <v>32287</v>
      </c>
      <c r="K249" s="7">
        <f>INT((crimenes_cordoba_ampliado[[#This Row],[Fecha]]-crimenes_cordoba_ampliado[[#This Row],[Fecha Nac. Delincuente]])/365)</f>
        <v>29</v>
      </c>
      <c r="L249" s="7" t="str">
        <f>_xlfn.XLOOKUP(crimenes_cordoba_ampliado[[#This Row],[EDAD DELINCUENTE]],'Rango etareo'!$A$10:$A$25,'Rango etareo'!$B$10:$B$25,,-1)</f>
        <v>26 - 35</v>
      </c>
      <c r="M249" s="3" t="s">
        <v>21</v>
      </c>
      <c r="N249" s="3" t="str">
        <f>IF(crimenes_cordoba_ampliado[[#This Row],[Género Delincuente]]="Femenino","🚺","🚹")</f>
        <v>🚺</v>
      </c>
      <c r="O249">
        <v>2</v>
      </c>
      <c r="P249" s="1">
        <v>23194</v>
      </c>
      <c r="Q249" s="7">
        <f>INT((crimenes_cordoba_ampliado[[#This Row],[Fecha]]-crimenes_cordoba_ampliado[[#This Row],[Fecha Nac. Víctima]])/365)</f>
        <v>54</v>
      </c>
      <c r="R249" s="7" t="str">
        <f>_xlfn.XLOOKUP(crimenes_cordoba_ampliado[[#This Row],[EDAD VICTIMA]],'Rango etareo'!$A$2:$A$25,'Rango etareo'!$B$2:$B$25,,-1)</f>
        <v>46 - 55</v>
      </c>
      <c r="S249" s="3" t="s">
        <v>22</v>
      </c>
      <c r="T249" s="3" t="str">
        <f>IF(crimenes_cordoba_ampliado[[#This Row],[Género Víctima]]="Masculino","🚹","🚺")</f>
        <v>🚹</v>
      </c>
      <c r="U249">
        <v>1</v>
      </c>
      <c r="V249" s="3" t="s">
        <v>25</v>
      </c>
      <c r="W249" s="3" t="s">
        <v>24</v>
      </c>
      <c r="X249" s="3" t="s">
        <v>24</v>
      </c>
      <c r="Y249" s="3" t="s">
        <v>89</v>
      </c>
      <c r="Z249" s="3" t="s">
        <v>25</v>
      </c>
      <c r="AA249" s="3" t="s">
        <v>23</v>
      </c>
      <c r="AB249" s="3" t="str">
        <f>IF(crimenes_cordoba_ampliado[[#This Row],[Hubo Arresto]]="Sí", "Resuelto", "Pendiente")</f>
        <v>Pendiente</v>
      </c>
      <c r="AC249" s="3" t="s">
        <v>24</v>
      </c>
      <c r="AD249" s="3"/>
    </row>
    <row r="250" spans="1:30" x14ac:dyDescent="0.25">
      <c r="A250">
        <v>127</v>
      </c>
      <c r="B250" s="1">
        <v>43026</v>
      </c>
      <c r="C250" s="33">
        <f t="shared" si="6"/>
        <v>43026</v>
      </c>
      <c r="D250" s="34">
        <f t="shared" si="7"/>
        <v>43026</v>
      </c>
      <c r="E250" s="35" t="s">
        <v>1450</v>
      </c>
      <c r="F250" s="2">
        <v>0.84930555555555554</v>
      </c>
      <c r="G250" s="3" t="s">
        <v>51</v>
      </c>
      <c r="H250" s="3" t="s">
        <v>62</v>
      </c>
      <c r="I250" s="25" t="str">
        <f>VLOOKUP(H250,Tabla5[#All],4,FALSE)</f>
        <v>-31,3909520937826, -64,1836424491715</v>
      </c>
      <c r="J250" s="1">
        <v>34208</v>
      </c>
      <c r="K250" s="7">
        <f>INT((crimenes_cordoba_ampliado[[#This Row],[Fecha]]-crimenes_cordoba_ampliado[[#This Row],[Fecha Nac. Delincuente]])/365)</f>
        <v>24</v>
      </c>
      <c r="L250" s="7" t="str">
        <f>_xlfn.XLOOKUP(crimenes_cordoba_ampliado[[#This Row],[EDAD DELINCUENTE]],'Rango etareo'!$A$10:$A$25,'Rango etareo'!$B$10:$B$25,,-1)</f>
        <v>18 - 25</v>
      </c>
      <c r="M250" s="3" t="s">
        <v>22</v>
      </c>
      <c r="N250" s="3" t="str">
        <f>IF(crimenes_cordoba_ampliado[[#This Row],[Género Delincuente]]="Femenino","🚺","🚹")</f>
        <v>🚹</v>
      </c>
      <c r="O250">
        <v>3</v>
      </c>
      <c r="P250" s="1">
        <v>24614</v>
      </c>
      <c r="Q250" s="7">
        <f>INT((crimenes_cordoba_ampliado[[#This Row],[Fecha]]-crimenes_cordoba_ampliado[[#This Row],[Fecha Nac. Víctima]])/365)</f>
        <v>50</v>
      </c>
      <c r="R250" s="7" t="str">
        <f>_xlfn.XLOOKUP(crimenes_cordoba_ampliado[[#This Row],[EDAD VICTIMA]],'Rango etareo'!$A$2:$A$25,'Rango etareo'!$B$2:$B$25,,-1)</f>
        <v>46 - 55</v>
      </c>
      <c r="S250" s="3" t="s">
        <v>21</v>
      </c>
      <c r="T250" s="3" t="str">
        <f>IF(crimenes_cordoba_ampliado[[#This Row],[Género Víctima]]="Masculino","🚹","🚺")</f>
        <v>🚺</v>
      </c>
      <c r="U250">
        <v>2</v>
      </c>
      <c r="V250" s="3" t="s">
        <v>25</v>
      </c>
      <c r="W250" s="3" t="s">
        <v>24</v>
      </c>
      <c r="X250" s="3" t="s">
        <v>24</v>
      </c>
      <c r="Y250" s="3" t="s">
        <v>133</v>
      </c>
      <c r="Z250" s="3" t="s">
        <v>25</v>
      </c>
      <c r="AA250" s="3" t="s">
        <v>23</v>
      </c>
      <c r="AB250" s="3" t="str">
        <f>IF(crimenes_cordoba_ampliado[[#This Row],[Hubo Arresto]]="Sí", "Resuelto", "Pendiente")</f>
        <v>Pendiente</v>
      </c>
      <c r="AC250" s="3" t="s">
        <v>24</v>
      </c>
      <c r="AD250" s="3"/>
    </row>
    <row r="251" spans="1:30" x14ac:dyDescent="0.25">
      <c r="A251">
        <v>579</v>
      </c>
      <c r="B251" s="1">
        <v>43026</v>
      </c>
      <c r="C251" s="33">
        <f t="shared" si="6"/>
        <v>43026</v>
      </c>
      <c r="D251" s="34">
        <f t="shared" si="7"/>
        <v>43026</v>
      </c>
      <c r="E251" s="35" t="s">
        <v>1450</v>
      </c>
      <c r="F251" s="2">
        <v>0.87152777777777779</v>
      </c>
      <c r="G251" s="3" t="s">
        <v>81</v>
      </c>
      <c r="H251" s="3" t="s">
        <v>55</v>
      </c>
      <c r="I251" s="25" t="str">
        <f>VLOOKUP(H251,Tabla5[#All],4,FALSE)</f>
        <v>-31,4015892433235, -64,160442876477</v>
      </c>
      <c r="J251" s="1">
        <v>35345</v>
      </c>
      <c r="K251" s="7">
        <f>INT((crimenes_cordoba_ampliado[[#This Row],[Fecha]]-crimenes_cordoba_ampliado[[#This Row],[Fecha Nac. Delincuente]])/365)</f>
        <v>21</v>
      </c>
      <c r="L251" s="7" t="str">
        <f>_xlfn.XLOOKUP(crimenes_cordoba_ampliado[[#This Row],[EDAD DELINCUENTE]],'Rango etareo'!$A$10:$A$25,'Rango etareo'!$B$10:$B$25,,-1)</f>
        <v>18 - 25</v>
      </c>
      <c r="M251" s="3" t="s">
        <v>21</v>
      </c>
      <c r="N251" s="3" t="str">
        <f>IF(crimenes_cordoba_ampliado[[#This Row],[Género Delincuente]]="Femenino","🚺","🚹")</f>
        <v>🚺</v>
      </c>
      <c r="O251">
        <v>4</v>
      </c>
      <c r="P251" s="1">
        <v>29244</v>
      </c>
      <c r="Q251" s="7">
        <f>INT((crimenes_cordoba_ampliado[[#This Row],[Fecha]]-crimenes_cordoba_ampliado[[#This Row],[Fecha Nac. Víctima]])/365)</f>
        <v>37</v>
      </c>
      <c r="R251" s="7" t="str">
        <f>_xlfn.XLOOKUP(crimenes_cordoba_ampliado[[#This Row],[EDAD VICTIMA]],'Rango etareo'!$A$2:$A$25,'Rango etareo'!$B$2:$B$25,,-1)</f>
        <v>36 - 45</v>
      </c>
      <c r="S251" s="3" t="s">
        <v>21</v>
      </c>
      <c r="T251" s="3" t="str">
        <f>IF(crimenes_cordoba_ampliado[[#This Row],[Género Víctima]]="Masculino","🚹","🚺")</f>
        <v>🚺</v>
      </c>
      <c r="U251">
        <v>2</v>
      </c>
      <c r="V251" s="3" t="s">
        <v>25</v>
      </c>
      <c r="W251" s="3" t="s">
        <v>36</v>
      </c>
      <c r="X251" s="3" t="s">
        <v>29</v>
      </c>
      <c r="Y251" s="3" t="s">
        <v>24</v>
      </c>
      <c r="Z251" s="3" t="s">
        <v>25</v>
      </c>
      <c r="AA251" s="3" t="s">
        <v>25</v>
      </c>
      <c r="AB251" s="3" t="str">
        <f>IF(crimenes_cordoba_ampliado[[#This Row],[Hubo Arresto]]="Sí", "Resuelto", "Pendiente")</f>
        <v>Pendiente</v>
      </c>
      <c r="AC251" s="3" t="s">
        <v>24</v>
      </c>
      <c r="AD251" s="3"/>
    </row>
    <row r="252" spans="1:30" x14ac:dyDescent="0.25">
      <c r="A252">
        <v>842</v>
      </c>
      <c r="B252" s="1">
        <v>43026</v>
      </c>
      <c r="C252" s="33">
        <f t="shared" si="6"/>
        <v>43026</v>
      </c>
      <c r="D252" s="34">
        <f t="shared" si="7"/>
        <v>43026</v>
      </c>
      <c r="E252" s="35" t="s">
        <v>1450</v>
      </c>
      <c r="F252" s="2">
        <v>0.69374999999999998</v>
      </c>
      <c r="G252" s="3" t="s">
        <v>54</v>
      </c>
      <c r="H252" s="3" t="s">
        <v>55</v>
      </c>
      <c r="I252" s="25" t="str">
        <f>VLOOKUP(H252,Tabla5[#All],4,FALSE)</f>
        <v>-31,4015892433235, -64,160442876477</v>
      </c>
      <c r="J252" s="1">
        <v>27764</v>
      </c>
      <c r="K252" s="7">
        <f>INT((crimenes_cordoba_ampliado[[#This Row],[Fecha]]-crimenes_cordoba_ampliado[[#This Row],[Fecha Nac. Delincuente]])/365)</f>
        <v>41</v>
      </c>
      <c r="L252" s="7" t="str">
        <f>_xlfn.XLOOKUP(crimenes_cordoba_ampliado[[#This Row],[EDAD DELINCUENTE]],'Rango etareo'!$A$10:$A$25,'Rango etareo'!$B$10:$B$25,,-1)</f>
        <v>36 - 45</v>
      </c>
      <c r="M252" s="3" t="s">
        <v>21</v>
      </c>
      <c r="N252" s="3" t="str">
        <f>IF(crimenes_cordoba_ampliado[[#This Row],[Género Delincuente]]="Femenino","🚺","🚹")</f>
        <v>🚺</v>
      </c>
      <c r="O252">
        <v>4</v>
      </c>
      <c r="P252" s="1">
        <v>18730</v>
      </c>
      <c r="Q252" s="7">
        <f>INT((crimenes_cordoba_ampliado[[#This Row],[Fecha]]-crimenes_cordoba_ampliado[[#This Row],[Fecha Nac. Víctima]])/365)</f>
        <v>66</v>
      </c>
      <c r="R252" s="7" t="str">
        <f>_xlfn.XLOOKUP(crimenes_cordoba_ampliado[[#This Row],[EDAD VICTIMA]],'Rango etareo'!$A$2:$A$25,'Rango etareo'!$B$2:$B$25,,-1)</f>
        <v>&gt;65</v>
      </c>
      <c r="S252" s="3" t="s">
        <v>21</v>
      </c>
      <c r="T252" s="3" t="str">
        <f>IF(crimenes_cordoba_ampliado[[#This Row],[Género Víctima]]="Masculino","🚹","🚺")</f>
        <v>🚺</v>
      </c>
      <c r="U252">
        <v>2</v>
      </c>
      <c r="V252" s="3" t="s">
        <v>25</v>
      </c>
      <c r="W252" s="3" t="s">
        <v>24</v>
      </c>
      <c r="X252" s="3" t="s">
        <v>24</v>
      </c>
      <c r="Y252" s="3" t="s">
        <v>53</v>
      </c>
      <c r="Z252" s="3" t="s">
        <v>25</v>
      </c>
      <c r="AA252" s="3" t="s">
        <v>25</v>
      </c>
      <c r="AB252" s="3" t="str">
        <f>IF(crimenes_cordoba_ampliado[[#This Row],[Hubo Arresto]]="Sí", "Resuelto", "Pendiente")</f>
        <v>Pendiente</v>
      </c>
      <c r="AC252" s="3" t="s">
        <v>24</v>
      </c>
      <c r="AD252" s="3"/>
    </row>
    <row r="253" spans="1:30" x14ac:dyDescent="0.25">
      <c r="A253">
        <v>245</v>
      </c>
      <c r="B253" s="1">
        <v>45161</v>
      </c>
      <c r="C253" s="33">
        <f t="shared" si="6"/>
        <v>45161</v>
      </c>
      <c r="D253" s="34">
        <f t="shared" si="7"/>
        <v>45161</v>
      </c>
      <c r="E253" s="35" t="s">
        <v>1450</v>
      </c>
      <c r="F253" s="2">
        <v>0.68333333333333335</v>
      </c>
      <c r="G253" s="3" t="s">
        <v>38</v>
      </c>
      <c r="H253" s="3" t="s">
        <v>65</v>
      </c>
      <c r="I253" s="25" t="str">
        <f>VLOOKUP(H253,Tabla5[#All],4,FALSE)</f>
        <v>-31,4285567311661, -64,1853198281007</v>
      </c>
      <c r="J253" s="1">
        <v>27919</v>
      </c>
      <c r="K253" s="7">
        <f>INT((crimenes_cordoba_ampliado[[#This Row],[Fecha]]-crimenes_cordoba_ampliado[[#This Row],[Fecha Nac. Delincuente]])/365)</f>
        <v>47</v>
      </c>
      <c r="L253" s="7" t="str">
        <f>_xlfn.XLOOKUP(crimenes_cordoba_ampliado[[#This Row],[EDAD DELINCUENTE]],'Rango etareo'!$A$10:$A$25,'Rango etareo'!$B$10:$B$25,,-1)</f>
        <v>46 - 55</v>
      </c>
      <c r="M253" s="3" t="s">
        <v>21</v>
      </c>
      <c r="N253" s="3" t="str">
        <f>IF(crimenes_cordoba_ampliado[[#This Row],[Género Delincuente]]="Femenino","🚺","🚹")</f>
        <v>🚺</v>
      </c>
      <c r="O253">
        <v>1</v>
      </c>
      <c r="P253" s="1">
        <v>21828</v>
      </c>
      <c r="Q253" s="7">
        <f>INT((crimenes_cordoba_ampliado[[#This Row],[Fecha]]-crimenes_cordoba_ampliado[[#This Row],[Fecha Nac. Víctima]])/365)</f>
        <v>63</v>
      </c>
      <c r="R253" s="7" t="str">
        <f>_xlfn.XLOOKUP(crimenes_cordoba_ampliado[[#This Row],[EDAD VICTIMA]],'Rango etareo'!$A$2:$A$25,'Rango etareo'!$B$2:$B$25,,-1)</f>
        <v>56 - 65</v>
      </c>
      <c r="S253" s="3" t="s">
        <v>21</v>
      </c>
      <c r="T253" s="3" t="str">
        <f>IF(crimenes_cordoba_ampliado[[#This Row],[Género Víctima]]="Masculino","🚹","🚺")</f>
        <v>🚺</v>
      </c>
      <c r="U253">
        <v>2</v>
      </c>
      <c r="V253" s="3" t="s">
        <v>23</v>
      </c>
      <c r="W253" s="3" t="s">
        <v>24</v>
      </c>
      <c r="X253" s="3" t="s">
        <v>24</v>
      </c>
      <c r="Y253" s="3" t="s">
        <v>39</v>
      </c>
      <c r="Z253" s="3" t="s">
        <v>25</v>
      </c>
      <c r="AA253" s="3" t="s">
        <v>23</v>
      </c>
      <c r="AB253" s="3" t="str">
        <f>IF(crimenes_cordoba_ampliado[[#This Row],[Hubo Arresto]]="Sí", "Resuelto", "Pendiente")</f>
        <v>Resuelto</v>
      </c>
      <c r="AC253" s="3" t="s">
        <v>179</v>
      </c>
      <c r="AD253" s="3"/>
    </row>
    <row r="254" spans="1:30" x14ac:dyDescent="0.25">
      <c r="A254">
        <v>246</v>
      </c>
      <c r="B254" s="1">
        <v>42006</v>
      </c>
      <c r="C254" s="33">
        <f t="shared" si="6"/>
        <v>42006</v>
      </c>
      <c r="D254" s="34">
        <f t="shared" si="7"/>
        <v>42006</v>
      </c>
      <c r="E254" s="35" t="s">
        <v>1455</v>
      </c>
      <c r="F254" s="2">
        <v>0.44930555555555557</v>
      </c>
      <c r="G254" s="3" t="s">
        <v>31</v>
      </c>
      <c r="H254" s="3" t="s">
        <v>65</v>
      </c>
      <c r="I254" s="25" t="str">
        <f>VLOOKUP(H254,Tabla5[#All],4,FALSE)</f>
        <v>-31,4285567311661, -64,1853198281007</v>
      </c>
      <c r="J254" s="1">
        <v>37766</v>
      </c>
      <c r="K254" s="7">
        <f>INT((crimenes_cordoba_ampliado[[#This Row],[Fecha]]-crimenes_cordoba_ampliado[[#This Row],[Fecha Nac. Delincuente]])/365)</f>
        <v>11</v>
      </c>
      <c r="L254" s="7" t="str">
        <f>_xlfn.XLOOKUP(crimenes_cordoba_ampliado[[#This Row],[EDAD DELINCUENTE]],'Rango etareo'!$A$10:$A$25,'Rango etareo'!$B$10:$B$25,,-1)</f>
        <v>&lt;=17</v>
      </c>
      <c r="M254" s="3" t="s">
        <v>22</v>
      </c>
      <c r="N254" s="3" t="str">
        <f>IF(crimenes_cordoba_ampliado[[#This Row],[Género Delincuente]]="Femenino","🚺","🚹")</f>
        <v>🚹</v>
      </c>
      <c r="O254">
        <v>2</v>
      </c>
      <c r="P254" s="1">
        <v>31590</v>
      </c>
      <c r="Q254" s="7">
        <f>INT((crimenes_cordoba_ampliado[[#This Row],[Fecha]]-crimenes_cordoba_ampliado[[#This Row],[Fecha Nac. Víctima]])/365)</f>
        <v>28</v>
      </c>
      <c r="R254" s="7" t="str">
        <f>_xlfn.XLOOKUP(crimenes_cordoba_ampliado[[#This Row],[EDAD VICTIMA]],'Rango etareo'!$A$2:$A$25,'Rango etareo'!$B$2:$B$25,,-1)</f>
        <v>26 - 35</v>
      </c>
      <c r="S254" s="3" t="s">
        <v>22</v>
      </c>
      <c r="T254" s="3" t="str">
        <f>IF(crimenes_cordoba_ampliado[[#This Row],[Género Víctima]]="Masculino","🚹","🚺")</f>
        <v>🚹</v>
      </c>
      <c r="U254">
        <v>3</v>
      </c>
      <c r="V254" s="3" t="s">
        <v>23</v>
      </c>
      <c r="W254" s="3" t="s">
        <v>24</v>
      </c>
      <c r="X254" s="3" t="s">
        <v>24</v>
      </c>
      <c r="Y254" s="3" t="s">
        <v>39</v>
      </c>
      <c r="Z254" s="3" t="s">
        <v>25</v>
      </c>
      <c r="AA254" s="3" t="s">
        <v>25</v>
      </c>
      <c r="AB254" s="3" t="str">
        <f>IF(crimenes_cordoba_ampliado[[#This Row],[Hubo Arresto]]="Sí", "Resuelto", "Pendiente")</f>
        <v>Resuelto</v>
      </c>
      <c r="AC254" s="3" t="s">
        <v>153</v>
      </c>
      <c r="AD254" s="3"/>
    </row>
    <row r="255" spans="1:30" x14ac:dyDescent="0.25">
      <c r="A255">
        <v>277</v>
      </c>
      <c r="B255" s="1">
        <v>43036</v>
      </c>
      <c r="C255" s="33">
        <f t="shared" si="6"/>
        <v>43036</v>
      </c>
      <c r="D255" s="34">
        <f t="shared" si="7"/>
        <v>43036</v>
      </c>
      <c r="E255" s="35" t="s">
        <v>1451</v>
      </c>
      <c r="F255" s="2">
        <v>0.69861111111111107</v>
      </c>
      <c r="G255" s="3" t="s">
        <v>48</v>
      </c>
      <c r="H255" s="3" t="s">
        <v>52</v>
      </c>
      <c r="I255" s="25" t="str">
        <f>VLOOKUP(H255,Tabla5[#All],4,FALSE)</f>
        <v>-31,3477902896523, -64,2644406169297</v>
      </c>
      <c r="J255" s="1">
        <v>22064</v>
      </c>
      <c r="K255" s="7">
        <f>INT((crimenes_cordoba_ampliado[[#This Row],[Fecha]]-crimenes_cordoba_ampliado[[#This Row],[Fecha Nac. Delincuente]])/365)</f>
        <v>57</v>
      </c>
      <c r="L255" s="7" t="str">
        <f>_xlfn.XLOOKUP(crimenes_cordoba_ampliado[[#This Row],[EDAD DELINCUENTE]],'Rango etareo'!$A$10:$A$25,'Rango etareo'!$B$10:$B$25,,-1)</f>
        <v>56 - 65</v>
      </c>
      <c r="M255" s="3" t="s">
        <v>21</v>
      </c>
      <c r="N255" s="3" t="str">
        <f>IF(crimenes_cordoba_ampliado[[#This Row],[Género Delincuente]]="Femenino","🚺","🚹")</f>
        <v>🚺</v>
      </c>
      <c r="O255">
        <v>4</v>
      </c>
      <c r="P255" s="1">
        <v>41061</v>
      </c>
      <c r="Q255" s="7">
        <f>INT((crimenes_cordoba_ampliado[[#This Row],[Fecha]]-crimenes_cordoba_ampliado[[#This Row],[Fecha Nac. Víctima]])/365)</f>
        <v>5</v>
      </c>
      <c r="R255" s="7" t="str">
        <f>_xlfn.XLOOKUP(crimenes_cordoba_ampliado[[#This Row],[EDAD VICTIMA]],'Rango etareo'!$A$2:$A$25,'Rango etareo'!$B$2:$B$25,,-1)</f>
        <v>&lt;=17</v>
      </c>
      <c r="S255" s="3" t="s">
        <v>21</v>
      </c>
      <c r="T255" s="3" t="str">
        <f>IF(crimenes_cordoba_ampliado[[#This Row],[Género Víctima]]="Masculino","🚹","🚺")</f>
        <v>🚺</v>
      </c>
      <c r="U255">
        <v>1</v>
      </c>
      <c r="V255" s="3" t="s">
        <v>25</v>
      </c>
      <c r="W255" s="3" t="s">
        <v>24</v>
      </c>
      <c r="X255" s="3" t="s">
        <v>24</v>
      </c>
      <c r="Y255" s="3" t="s">
        <v>56</v>
      </c>
      <c r="Z255" s="3" t="s">
        <v>25</v>
      </c>
      <c r="AA255" s="3" t="s">
        <v>23</v>
      </c>
      <c r="AB255" s="3" t="str">
        <f>IF(crimenes_cordoba_ampliado[[#This Row],[Hubo Arresto]]="Sí", "Resuelto", "Pendiente")</f>
        <v>Pendiente</v>
      </c>
      <c r="AC255" s="3" t="s">
        <v>24</v>
      </c>
      <c r="AD255" s="3"/>
    </row>
    <row r="256" spans="1:30" x14ac:dyDescent="0.25">
      <c r="A256">
        <v>523</v>
      </c>
      <c r="B256" s="1">
        <v>43038</v>
      </c>
      <c r="C256" s="33">
        <f t="shared" si="6"/>
        <v>43038</v>
      </c>
      <c r="D256" s="34">
        <f t="shared" si="7"/>
        <v>43038</v>
      </c>
      <c r="E256" s="35" t="s">
        <v>1452</v>
      </c>
      <c r="F256" s="2">
        <v>0.29722222222222222</v>
      </c>
      <c r="G256" s="3" t="s">
        <v>54</v>
      </c>
      <c r="H256" s="3" t="s">
        <v>55</v>
      </c>
      <c r="I256" s="25" t="str">
        <f>VLOOKUP(H256,Tabla5[#All],4,FALSE)</f>
        <v>-31,4015892433235, -64,160442876477</v>
      </c>
      <c r="J256" s="1">
        <v>28548</v>
      </c>
      <c r="K256" s="7">
        <f>INT((crimenes_cordoba_ampliado[[#This Row],[Fecha]]-crimenes_cordoba_ampliado[[#This Row],[Fecha Nac. Delincuente]])/365)</f>
        <v>39</v>
      </c>
      <c r="L256" s="7" t="str">
        <f>_xlfn.XLOOKUP(crimenes_cordoba_ampliado[[#This Row],[EDAD DELINCUENTE]],'Rango etareo'!$A$10:$A$25,'Rango etareo'!$B$10:$B$25,,-1)</f>
        <v>36 - 45</v>
      </c>
      <c r="M256" s="3" t="s">
        <v>21</v>
      </c>
      <c r="N256" s="3" t="str">
        <f>IF(crimenes_cordoba_ampliado[[#This Row],[Género Delincuente]]="Femenino","🚺","🚹")</f>
        <v>🚺</v>
      </c>
      <c r="O256">
        <v>3</v>
      </c>
      <c r="P256" s="1">
        <v>37161</v>
      </c>
      <c r="Q256" s="7">
        <f>INT((crimenes_cordoba_ampliado[[#This Row],[Fecha]]-crimenes_cordoba_ampliado[[#This Row],[Fecha Nac. Víctima]])/365)</f>
        <v>16</v>
      </c>
      <c r="R256" s="7" t="str">
        <f>_xlfn.XLOOKUP(crimenes_cordoba_ampliado[[#This Row],[EDAD VICTIMA]],'Rango etareo'!$A$2:$A$25,'Rango etareo'!$B$2:$B$25,,-1)</f>
        <v>&lt;=17</v>
      </c>
      <c r="S256" s="3" t="s">
        <v>21</v>
      </c>
      <c r="T256" s="3" t="str">
        <f>IF(crimenes_cordoba_ampliado[[#This Row],[Género Víctima]]="Masculino","🚹","🚺")</f>
        <v>🚺</v>
      </c>
      <c r="U256">
        <v>2</v>
      </c>
      <c r="V256" s="3" t="s">
        <v>25</v>
      </c>
      <c r="W256" s="3" t="s">
        <v>24</v>
      </c>
      <c r="X256" s="3" t="s">
        <v>67</v>
      </c>
      <c r="Y256" s="3" t="s">
        <v>24</v>
      </c>
      <c r="Z256" s="3" t="s">
        <v>23</v>
      </c>
      <c r="AA256" s="3" t="s">
        <v>23</v>
      </c>
      <c r="AB256" s="3" t="str">
        <f>IF(crimenes_cordoba_ampliado[[#This Row],[Hubo Arresto]]="Sí", "Resuelto", "Pendiente")</f>
        <v>Pendiente</v>
      </c>
      <c r="AC256" s="3" t="s">
        <v>24</v>
      </c>
      <c r="AD256" s="3"/>
    </row>
    <row r="257" spans="1:30" x14ac:dyDescent="0.25">
      <c r="A257">
        <v>247</v>
      </c>
      <c r="B257" s="1">
        <v>43625</v>
      </c>
      <c r="C257" s="33">
        <f t="shared" si="6"/>
        <v>43625</v>
      </c>
      <c r="D257" s="34">
        <f t="shared" si="7"/>
        <v>43625</v>
      </c>
      <c r="E257" s="35" t="s">
        <v>1449</v>
      </c>
      <c r="F257" s="2">
        <v>0.56041666666666667</v>
      </c>
      <c r="G257" s="3" t="s">
        <v>19</v>
      </c>
      <c r="H257" s="3" t="s">
        <v>58</v>
      </c>
      <c r="I257" s="25" t="str">
        <f>VLOOKUP(H257,Tabla5[#All],4,FALSE)</f>
        <v>-31,423018915313, -64,1493562190664</v>
      </c>
      <c r="J257" s="1">
        <v>37783</v>
      </c>
      <c r="K257" s="7">
        <f>INT((crimenes_cordoba_ampliado[[#This Row],[Fecha]]-crimenes_cordoba_ampliado[[#This Row],[Fecha Nac. Delincuente]])/365)</f>
        <v>16</v>
      </c>
      <c r="L257" s="7" t="str">
        <f>_xlfn.XLOOKUP(crimenes_cordoba_ampliado[[#This Row],[EDAD DELINCUENTE]],'Rango etareo'!$A$10:$A$25,'Rango etareo'!$B$10:$B$25,,-1)</f>
        <v>&lt;=17</v>
      </c>
      <c r="M257" s="3" t="s">
        <v>22</v>
      </c>
      <c r="N257" s="3" t="str">
        <f>IF(crimenes_cordoba_ampliado[[#This Row],[Género Delincuente]]="Femenino","🚺","🚹")</f>
        <v>🚹</v>
      </c>
      <c r="O257">
        <v>3</v>
      </c>
      <c r="P257" s="1">
        <v>24909</v>
      </c>
      <c r="Q257" s="7">
        <f>INT((crimenes_cordoba_ampliado[[#This Row],[Fecha]]-crimenes_cordoba_ampliado[[#This Row],[Fecha Nac. Víctima]])/365)</f>
        <v>51</v>
      </c>
      <c r="R257" s="7" t="str">
        <f>_xlfn.XLOOKUP(crimenes_cordoba_ampliado[[#This Row],[EDAD VICTIMA]],'Rango etareo'!$A$2:$A$25,'Rango etareo'!$B$2:$B$25,,-1)</f>
        <v>46 - 55</v>
      </c>
      <c r="S257" s="3" t="s">
        <v>22</v>
      </c>
      <c r="T257" s="3" t="str">
        <f>IF(crimenes_cordoba_ampliado[[#This Row],[Género Víctima]]="Masculino","🚹","🚺")</f>
        <v>🚹</v>
      </c>
      <c r="U257">
        <v>1</v>
      </c>
      <c r="V257" s="3" t="s">
        <v>23</v>
      </c>
      <c r="W257" s="3" t="s">
        <v>24</v>
      </c>
      <c r="X257" s="3" t="s">
        <v>24</v>
      </c>
      <c r="Y257" s="3" t="s">
        <v>56</v>
      </c>
      <c r="Z257" s="3" t="s">
        <v>25</v>
      </c>
      <c r="AA257" s="3" t="s">
        <v>25</v>
      </c>
      <c r="AB257" s="3" t="str">
        <f>IF(crimenes_cordoba_ampliado[[#This Row],[Hubo Arresto]]="Sí", "Resuelto", "Pendiente")</f>
        <v>Resuelto</v>
      </c>
      <c r="AC257" s="3" t="s">
        <v>180</v>
      </c>
      <c r="AD257" s="3"/>
    </row>
    <row r="258" spans="1:30" x14ac:dyDescent="0.25">
      <c r="A258">
        <v>249</v>
      </c>
      <c r="B258" s="1">
        <v>44882</v>
      </c>
      <c r="C258" s="33">
        <f t="shared" ref="C258:C321" si="8">B:B</f>
        <v>44882</v>
      </c>
      <c r="D258" s="34">
        <f t="shared" ref="D258:D321" si="9">B:B</f>
        <v>44882</v>
      </c>
      <c r="E258" s="35" t="s">
        <v>1454</v>
      </c>
      <c r="F258" s="2">
        <v>0.88194444444444442</v>
      </c>
      <c r="G258" s="3" t="s">
        <v>35</v>
      </c>
      <c r="H258" s="3" t="s">
        <v>28</v>
      </c>
      <c r="I258" s="25" t="str">
        <f>VLOOKUP(H258,Tabla5[#All],4,FALSE)</f>
        <v>-31,4129883640337, -64,1681120522587</v>
      </c>
      <c r="J258" s="1">
        <v>21533</v>
      </c>
      <c r="K258" s="7">
        <f>INT((crimenes_cordoba_ampliado[[#This Row],[Fecha]]-crimenes_cordoba_ampliado[[#This Row],[Fecha Nac. Delincuente]])/365)</f>
        <v>63</v>
      </c>
      <c r="L258" s="7" t="str">
        <f>_xlfn.XLOOKUP(crimenes_cordoba_ampliado[[#This Row],[EDAD DELINCUENTE]],'Rango etareo'!$A$10:$A$25,'Rango etareo'!$B$10:$B$25,,-1)</f>
        <v>56 - 65</v>
      </c>
      <c r="M258" s="3" t="s">
        <v>22</v>
      </c>
      <c r="N258" s="3" t="str">
        <f>IF(crimenes_cordoba_ampliado[[#This Row],[Género Delincuente]]="Femenino","🚺","🚹")</f>
        <v>🚹</v>
      </c>
      <c r="O258">
        <v>2</v>
      </c>
      <c r="P258" s="1">
        <v>21479</v>
      </c>
      <c r="Q258" s="7">
        <f>INT((crimenes_cordoba_ampliado[[#This Row],[Fecha]]-crimenes_cordoba_ampliado[[#This Row],[Fecha Nac. Víctima]])/365)</f>
        <v>64</v>
      </c>
      <c r="R258" s="7" t="str">
        <f>_xlfn.XLOOKUP(crimenes_cordoba_ampliado[[#This Row],[EDAD VICTIMA]],'Rango etareo'!$A$2:$A$25,'Rango etareo'!$B$2:$B$25,,-1)</f>
        <v>56 - 65</v>
      </c>
      <c r="S258" s="3" t="s">
        <v>22</v>
      </c>
      <c r="T258" s="3" t="str">
        <f>IF(crimenes_cordoba_ampliado[[#This Row],[Género Víctima]]="Masculino","🚹","🚺")</f>
        <v>🚹</v>
      </c>
      <c r="U258">
        <v>1</v>
      </c>
      <c r="V258" s="3" t="s">
        <v>23</v>
      </c>
      <c r="W258" s="3" t="s">
        <v>63</v>
      </c>
      <c r="X258" s="3" t="s">
        <v>67</v>
      </c>
      <c r="Y258" s="3" t="s">
        <v>24</v>
      </c>
      <c r="Z258" s="3" t="s">
        <v>23</v>
      </c>
      <c r="AA258" s="3" t="s">
        <v>23</v>
      </c>
      <c r="AB258" s="3" t="str">
        <f>IF(crimenes_cordoba_ampliado[[#This Row],[Hubo Arresto]]="Sí", "Resuelto", "Pendiente")</f>
        <v>Resuelto</v>
      </c>
      <c r="AC258" s="3" t="s">
        <v>181</v>
      </c>
      <c r="AD258" s="3"/>
    </row>
    <row r="259" spans="1:30" x14ac:dyDescent="0.25">
      <c r="A259">
        <v>250</v>
      </c>
      <c r="B259" s="1">
        <v>43853</v>
      </c>
      <c r="C259" s="33">
        <f t="shared" si="8"/>
        <v>43853</v>
      </c>
      <c r="D259" s="34">
        <f t="shared" si="9"/>
        <v>43853</v>
      </c>
      <c r="E259" s="35" t="s">
        <v>1454</v>
      </c>
      <c r="F259" s="2">
        <v>0.40138888888888891</v>
      </c>
      <c r="G259" s="3" t="s">
        <v>31</v>
      </c>
      <c r="H259" s="3" t="s">
        <v>62</v>
      </c>
      <c r="I259" s="25" t="str">
        <f>VLOOKUP(H259,Tabla5[#All],4,FALSE)</f>
        <v>-31,3909520937826, -64,1836424491715</v>
      </c>
      <c r="J259" s="1">
        <v>38301</v>
      </c>
      <c r="K259" s="7">
        <f>INT((crimenes_cordoba_ampliado[[#This Row],[Fecha]]-crimenes_cordoba_ampliado[[#This Row],[Fecha Nac. Delincuente]])/365)</f>
        <v>15</v>
      </c>
      <c r="L259" s="7" t="str">
        <f>_xlfn.XLOOKUP(crimenes_cordoba_ampliado[[#This Row],[EDAD DELINCUENTE]],'Rango etareo'!$A$10:$A$25,'Rango etareo'!$B$10:$B$25,,-1)</f>
        <v>&lt;=17</v>
      </c>
      <c r="M259" s="3" t="s">
        <v>21</v>
      </c>
      <c r="N259" s="3" t="str">
        <f>IF(crimenes_cordoba_ampliado[[#This Row],[Género Delincuente]]="Femenino","🚺","🚹")</f>
        <v>🚺</v>
      </c>
      <c r="O259">
        <v>1</v>
      </c>
      <c r="P259" s="1">
        <v>23085</v>
      </c>
      <c r="Q259" s="7">
        <f>INT((crimenes_cordoba_ampliado[[#This Row],[Fecha]]-crimenes_cordoba_ampliado[[#This Row],[Fecha Nac. Víctima]])/365)</f>
        <v>56</v>
      </c>
      <c r="R259" s="7" t="str">
        <f>_xlfn.XLOOKUP(crimenes_cordoba_ampliado[[#This Row],[EDAD VICTIMA]],'Rango etareo'!$A$2:$A$25,'Rango etareo'!$B$2:$B$25,,-1)</f>
        <v>56 - 65</v>
      </c>
      <c r="S259" s="3" t="s">
        <v>22</v>
      </c>
      <c r="T259" s="3" t="str">
        <f>IF(crimenes_cordoba_ampliado[[#This Row],[Género Víctima]]="Masculino","🚹","🚺")</f>
        <v>🚹</v>
      </c>
      <c r="U259">
        <v>1</v>
      </c>
      <c r="V259" s="3" t="s">
        <v>23</v>
      </c>
      <c r="W259" s="3" t="s">
        <v>24</v>
      </c>
      <c r="X259" s="3" t="s">
        <v>24</v>
      </c>
      <c r="Y259" s="3" t="s">
        <v>56</v>
      </c>
      <c r="Z259" s="3" t="s">
        <v>25</v>
      </c>
      <c r="AA259" s="3" t="s">
        <v>25</v>
      </c>
      <c r="AB259" s="3" t="str">
        <f>IF(crimenes_cordoba_ampliado[[#This Row],[Hubo Arresto]]="Sí", "Resuelto", "Pendiente")</f>
        <v>Resuelto</v>
      </c>
      <c r="AC259" s="3" t="s">
        <v>182</v>
      </c>
      <c r="AD259" s="3"/>
    </row>
    <row r="260" spans="1:30" x14ac:dyDescent="0.25">
      <c r="A260">
        <v>412</v>
      </c>
      <c r="B260" s="1">
        <v>43043</v>
      </c>
      <c r="C260" s="33">
        <f t="shared" si="8"/>
        <v>43043</v>
      </c>
      <c r="D260" s="34">
        <f t="shared" si="9"/>
        <v>43043</v>
      </c>
      <c r="E260" s="35" t="s">
        <v>1451</v>
      </c>
      <c r="F260" s="2">
        <v>0.80694444444444446</v>
      </c>
      <c r="G260" s="3" t="s">
        <v>79</v>
      </c>
      <c r="H260" s="3" t="s">
        <v>60</v>
      </c>
      <c r="I260" s="25" t="str">
        <f>VLOOKUP(H260,Tabla5[#All],4,FALSE)</f>
        <v>-31,4076397196409, -64,2020170430678</v>
      </c>
      <c r="J260" s="1">
        <v>23129</v>
      </c>
      <c r="K260" s="7">
        <f>INT((crimenes_cordoba_ampliado[[#This Row],[Fecha]]-crimenes_cordoba_ampliado[[#This Row],[Fecha Nac. Delincuente]])/365)</f>
        <v>54</v>
      </c>
      <c r="L260" s="7" t="str">
        <f>_xlfn.XLOOKUP(crimenes_cordoba_ampliado[[#This Row],[EDAD DELINCUENTE]],'Rango etareo'!$A$10:$A$25,'Rango etareo'!$B$10:$B$25,,-1)</f>
        <v>46 - 55</v>
      </c>
      <c r="M260" s="3" t="s">
        <v>21</v>
      </c>
      <c r="N260" s="3" t="str">
        <f>IF(crimenes_cordoba_ampliado[[#This Row],[Género Delincuente]]="Femenino","🚺","🚹")</f>
        <v>🚺</v>
      </c>
      <c r="O260">
        <v>1</v>
      </c>
      <c r="P260" s="1">
        <v>34564</v>
      </c>
      <c r="Q260" s="7">
        <f>INT((crimenes_cordoba_ampliado[[#This Row],[Fecha]]-crimenes_cordoba_ampliado[[#This Row],[Fecha Nac. Víctima]])/365)</f>
        <v>23</v>
      </c>
      <c r="R260" s="7" t="str">
        <f>_xlfn.XLOOKUP(crimenes_cordoba_ampliado[[#This Row],[EDAD VICTIMA]],'Rango etareo'!$A$2:$A$25,'Rango etareo'!$B$2:$B$25,,-1)</f>
        <v>18 - 25</v>
      </c>
      <c r="S260" s="3" t="s">
        <v>22</v>
      </c>
      <c r="T260" s="3" t="str">
        <f>IF(crimenes_cordoba_ampliado[[#This Row],[Género Víctima]]="Masculino","🚹","🚺")</f>
        <v>🚹</v>
      </c>
      <c r="U260">
        <v>2</v>
      </c>
      <c r="V260" s="3" t="s">
        <v>25</v>
      </c>
      <c r="W260" s="3" t="s">
        <v>63</v>
      </c>
      <c r="X260" s="3" t="s">
        <v>67</v>
      </c>
      <c r="Y260" s="3" t="s">
        <v>24</v>
      </c>
      <c r="Z260" s="3" t="s">
        <v>23</v>
      </c>
      <c r="AA260" s="3" t="s">
        <v>25</v>
      </c>
      <c r="AB260" s="3" t="str">
        <f>IF(crimenes_cordoba_ampliado[[#This Row],[Hubo Arresto]]="Sí", "Resuelto", "Pendiente")</f>
        <v>Pendiente</v>
      </c>
      <c r="AC260" s="3" t="s">
        <v>24</v>
      </c>
      <c r="AD260" s="3"/>
    </row>
    <row r="261" spans="1:30" x14ac:dyDescent="0.25">
      <c r="A261">
        <v>18</v>
      </c>
      <c r="B261" s="1">
        <v>43049</v>
      </c>
      <c r="C261" s="33">
        <f t="shared" si="8"/>
        <v>43049</v>
      </c>
      <c r="D261" s="34">
        <f t="shared" si="9"/>
        <v>43049</v>
      </c>
      <c r="E261" s="35" t="s">
        <v>1455</v>
      </c>
      <c r="F261" s="2">
        <v>0.56111111111111112</v>
      </c>
      <c r="G261" s="3" t="s">
        <v>54</v>
      </c>
      <c r="H261" s="3" t="s">
        <v>32</v>
      </c>
      <c r="I261" s="25" t="str">
        <f>VLOOKUP(H261,Tabla5[#All],4,FALSE)</f>
        <v>-31,4148488101991, -64,1793406489438</v>
      </c>
      <c r="J261" s="1">
        <v>31093</v>
      </c>
      <c r="K261" s="7">
        <f>INT((crimenes_cordoba_ampliado[[#This Row],[Fecha]]-crimenes_cordoba_ampliado[[#This Row],[Fecha Nac. Delincuente]])/365)</f>
        <v>32</v>
      </c>
      <c r="L261" s="7" t="str">
        <f>_xlfn.XLOOKUP(crimenes_cordoba_ampliado[[#This Row],[EDAD DELINCUENTE]],'Rango etareo'!$A$10:$A$25,'Rango etareo'!$B$10:$B$25,,-1)</f>
        <v>26 - 35</v>
      </c>
      <c r="M261" s="3" t="s">
        <v>21</v>
      </c>
      <c r="N261" s="3" t="str">
        <f>IF(crimenes_cordoba_ampliado[[#This Row],[Género Delincuente]]="Femenino","🚺","🚹")</f>
        <v>🚺</v>
      </c>
      <c r="O261">
        <v>5</v>
      </c>
      <c r="P261" s="1">
        <v>41934</v>
      </c>
      <c r="Q261" s="7">
        <f>INT((crimenes_cordoba_ampliado[[#This Row],[Fecha]]-crimenes_cordoba_ampliado[[#This Row],[Fecha Nac. Víctima]])/365)</f>
        <v>3</v>
      </c>
      <c r="R261" s="7" t="str">
        <f>_xlfn.XLOOKUP(crimenes_cordoba_ampliado[[#This Row],[EDAD VICTIMA]],'Rango etareo'!$A$2:$A$25,'Rango etareo'!$B$2:$B$25,,-1)</f>
        <v>&lt;=17</v>
      </c>
      <c r="S261" s="3" t="s">
        <v>21</v>
      </c>
      <c r="T261" s="3" t="str">
        <f>IF(crimenes_cordoba_ampliado[[#This Row],[Género Víctima]]="Masculino","🚹","🚺")</f>
        <v>🚺</v>
      </c>
      <c r="U261">
        <v>1</v>
      </c>
      <c r="V261" s="3" t="s">
        <v>25</v>
      </c>
      <c r="W261" s="3" t="s">
        <v>24</v>
      </c>
      <c r="X261" s="3" t="s">
        <v>24</v>
      </c>
      <c r="Y261" s="3" t="s">
        <v>69</v>
      </c>
      <c r="Z261" s="3" t="s">
        <v>23</v>
      </c>
      <c r="AA261" s="3" t="s">
        <v>23</v>
      </c>
      <c r="AB261" s="3" t="str">
        <f>IF(crimenes_cordoba_ampliado[[#This Row],[Hubo Arresto]]="Sí", "Resuelto", "Pendiente")</f>
        <v>Pendiente</v>
      </c>
      <c r="AC261" s="3" t="s">
        <v>24</v>
      </c>
      <c r="AD261" s="3"/>
    </row>
    <row r="262" spans="1:30" x14ac:dyDescent="0.25">
      <c r="A262">
        <v>251</v>
      </c>
      <c r="B262" s="1">
        <v>44669</v>
      </c>
      <c r="C262" s="33">
        <f t="shared" si="8"/>
        <v>44669</v>
      </c>
      <c r="D262" s="34">
        <f t="shared" si="9"/>
        <v>44669</v>
      </c>
      <c r="E262" s="35" t="s">
        <v>1452</v>
      </c>
      <c r="F262" s="2">
        <v>0.94930555555555551</v>
      </c>
      <c r="G262" s="3" t="s">
        <v>79</v>
      </c>
      <c r="H262" s="3" t="s">
        <v>28</v>
      </c>
      <c r="I262" s="25" t="str">
        <f>VLOOKUP(H262,Tabla5[#All],4,FALSE)</f>
        <v>-31,4129883640337, -64,1681120522587</v>
      </c>
      <c r="J262" s="1">
        <v>25819</v>
      </c>
      <c r="K262" s="7">
        <f>INT((crimenes_cordoba_ampliado[[#This Row],[Fecha]]-crimenes_cordoba_ampliado[[#This Row],[Fecha Nac. Delincuente]])/365)</f>
        <v>51</v>
      </c>
      <c r="L262" s="7" t="str">
        <f>_xlfn.XLOOKUP(crimenes_cordoba_ampliado[[#This Row],[EDAD DELINCUENTE]],'Rango etareo'!$A$10:$A$25,'Rango etareo'!$B$10:$B$25,,-1)</f>
        <v>46 - 55</v>
      </c>
      <c r="M262" s="3" t="s">
        <v>21</v>
      </c>
      <c r="N262" s="3" t="str">
        <f>IF(crimenes_cordoba_ampliado[[#This Row],[Género Delincuente]]="Femenino","🚺","🚹")</f>
        <v>🚺</v>
      </c>
      <c r="O262">
        <v>2</v>
      </c>
      <c r="P262" s="1">
        <v>30334</v>
      </c>
      <c r="Q262" s="7">
        <f>INT((crimenes_cordoba_ampliado[[#This Row],[Fecha]]-crimenes_cordoba_ampliado[[#This Row],[Fecha Nac. Víctima]])/365)</f>
        <v>39</v>
      </c>
      <c r="R262" s="7" t="str">
        <f>_xlfn.XLOOKUP(crimenes_cordoba_ampliado[[#This Row],[EDAD VICTIMA]],'Rango etareo'!$A$2:$A$25,'Rango etareo'!$B$2:$B$25,,-1)</f>
        <v>36 - 45</v>
      </c>
      <c r="S262" s="3" t="s">
        <v>21</v>
      </c>
      <c r="T262" s="3" t="str">
        <f>IF(crimenes_cordoba_ampliado[[#This Row],[Género Víctima]]="Masculino","🚹","🚺")</f>
        <v>🚺</v>
      </c>
      <c r="U262">
        <v>3</v>
      </c>
      <c r="V262" s="3" t="s">
        <v>23</v>
      </c>
      <c r="W262" s="3" t="s">
        <v>71</v>
      </c>
      <c r="X262" s="3" t="s">
        <v>67</v>
      </c>
      <c r="Y262" s="3" t="s">
        <v>24</v>
      </c>
      <c r="Z262" s="3" t="s">
        <v>23</v>
      </c>
      <c r="AA262" s="3" t="s">
        <v>25</v>
      </c>
      <c r="AB262" s="3" t="str">
        <f>IF(crimenes_cordoba_ampliado[[#This Row],[Hubo Arresto]]="Sí", "Resuelto", "Pendiente")</f>
        <v>Resuelto</v>
      </c>
      <c r="AC262" s="3" t="s">
        <v>87</v>
      </c>
      <c r="AD262" s="3"/>
    </row>
    <row r="263" spans="1:30" x14ac:dyDescent="0.25">
      <c r="A263">
        <v>951</v>
      </c>
      <c r="B263" s="1">
        <v>43057</v>
      </c>
      <c r="C263" s="33">
        <f t="shared" si="8"/>
        <v>43057</v>
      </c>
      <c r="D263" s="34">
        <f t="shared" si="9"/>
        <v>43057</v>
      </c>
      <c r="E263" s="35" t="s">
        <v>1451</v>
      </c>
      <c r="F263" s="2">
        <v>0.68958333333333333</v>
      </c>
      <c r="G263" s="3" t="s">
        <v>54</v>
      </c>
      <c r="H263" s="3" t="s">
        <v>62</v>
      </c>
      <c r="I263" s="25" t="str">
        <f>VLOOKUP(H263,Tabla5[#All],4,FALSE)</f>
        <v>-31,3909520937826, -64,1836424491715</v>
      </c>
      <c r="J263" s="1">
        <v>32318</v>
      </c>
      <c r="K263" s="7">
        <f>INT((crimenes_cordoba_ampliado[[#This Row],[Fecha]]-crimenes_cordoba_ampliado[[#This Row],[Fecha Nac. Delincuente]])/365)</f>
        <v>29</v>
      </c>
      <c r="L263" s="7" t="str">
        <f>_xlfn.XLOOKUP(crimenes_cordoba_ampliado[[#This Row],[EDAD DELINCUENTE]],'Rango etareo'!$A$10:$A$25,'Rango etareo'!$B$10:$B$25,,-1)</f>
        <v>26 - 35</v>
      </c>
      <c r="M263" s="3" t="s">
        <v>21</v>
      </c>
      <c r="N263" s="3" t="str">
        <f>IF(crimenes_cordoba_ampliado[[#This Row],[Género Delincuente]]="Femenino","🚺","🚹")</f>
        <v>🚺</v>
      </c>
      <c r="O263">
        <v>3</v>
      </c>
      <c r="P263" s="1">
        <v>28496</v>
      </c>
      <c r="Q263" s="7">
        <f>INT((crimenes_cordoba_ampliado[[#This Row],[Fecha]]-crimenes_cordoba_ampliado[[#This Row],[Fecha Nac. Víctima]])/365)</f>
        <v>39</v>
      </c>
      <c r="R263" s="7" t="str">
        <f>_xlfn.XLOOKUP(crimenes_cordoba_ampliado[[#This Row],[EDAD VICTIMA]],'Rango etareo'!$A$2:$A$25,'Rango etareo'!$B$2:$B$25,,-1)</f>
        <v>36 - 45</v>
      </c>
      <c r="S263" s="3" t="s">
        <v>21</v>
      </c>
      <c r="T263" s="3" t="str">
        <f>IF(crimenes_cordoba_ampliado[[#This Row],[Género Víctima]]="Masculino","🚹","🚺")</f>
        <v>🚺</v>
      </c>
      <c r="U263">
        <v>3</v>
      </c>
      <c r="V263" s="3" t="s">
        <v>25</v>
      </c>
      <c r="W263" s="3" t="s">
        <v>24</v>
      </c>
      <c r="X263" s="3" t="s">
        <v>24</v>
      </c>
      <c r="Y263" s="3" t="s">
        <v>72</v>
      </c>
      <c r="Z263" s="3" t="s">
        <v>25</v>
      </c>
      <c r="AA263" s="3" t="s">
        <v>23</v>
      </c>
      <c r="AB263" s="3" t="str">
        <f>IF(crimenes_cordoba_ampliado[[#This Row],[Hubo Arresto]]="Sí", "Resuelto", "Pendiente")</f>
        <v>Pendiente</v>
      </c>
      <c r="AC263" s="3" t="s">
        <v>24</v>
      </c>
      <c r="AD263" s="3"/>
    </row>
    <row r="264" spans="1:30" x14ac:dyDescent="0.25">
      <c r="A264">
        <v>253</v>
      </c>
      <c r="B264" s="1">
        <v>42485</v>
      </c>
      <c r="C264" s="33">
        <f t="shared" si="8"/>
        <v>42485</v>
      </c>
      <c r="D264" s="34">
        <f t="shared" si="9"/>
        <v>42485</v>
      </c>
      <c r="E264" s="35" t="s">
        <v>1452</v>
      </c>
      <c r="F264" s="2">
        <v>0.70694444444444449</v>
      </c>
      <c r="G264" s="3" t="s">
        <v>27</v>
      </c>
      <c r="H264" s="3" t="s">
        <v>28</v>
      </c>
      <c r="I264" s="25" t="str">
        <f>VLOOKUP(H264,Tabla5[#All],4,FALSE)</f>
        <v>-31,4129883640337, -64,1681120522587</v>
      </c>
      <c r="J264" s="1">
        <v>33492</v>
      </c>
      <c r="K264" s="7">
        <f>INT((crimenes_cordoba_ampliado[[#This Row],[Fecha]]-crimenes_cordoba_ampliado[[#This Row],[Fecha Nac. Delincuente]])/365)</f>
        <v>24</v>
      </c>
      <c r="L264" s="7" t="str">
        <f>_xlfn.XLOOKUP(crimenes_cordoba_ampliado[[#This Row],[EDAD DELINCUENTE]],'Rango etareo'!$A$10:$A$25,'Rango etareo'!$B$10:$B$25,,-1)</f>
        <v>18 - 25</v>
      </c>
      <c r="M264" s="3" t="s">
        <v>21</v>
      </c>
      <c r="N264" s="3" t="str">
        <f>IF(crimenes_cordoba_ampliado[[#This Row],[Género Delincuente]]="Femenino","🚺","🚹")</f>
        <v>🚺</v>
      </c>
      <c r="O264">
        <v>1</v>
      </c>
      <c r="P264" s="1">
        <v>23218</v>
      </c>
      <c r="Q264" s="7">
        <f>INT((crimenes_cordoba_ampliado[[#This Row],[Fecha]]-crimenes_cordoba_ampliado[[#This Row],[Fecha Nac. Víctima]])/365)</f>
        <v>52</v>
      </c>
      <c r="R264" s="7" t="str">
        <f>_xlfn.XLOOKUP(crimenes_cordoba_ampliado[[#This Row],[EDAD VICTIMA]],'Rango etareo'!$A$2:$A$25,'Rango etareo'!$B$2:$B$25,,-1)</f>
        <v>46 - 55</v>
      </c>
      <c r="S264" s="3" t="s">
        <v>22</v>
      </c>
      <c r="T264" s="3" t="str">
        <f>IF(crimenes_cordoba_ampliado[[#This Row],[Género Víctima]]="Masculino","🚹","🚺")</f>
        <v>🚹</v>
      </c>
      <c r="U264">
        <v>1</v>
      </c>
      <c r="V264" s="3" t="s">
        <v>23</v>
      </c>
      <c r="W264" s="3" t="s">
        <v>24</v>
      </c>
      <c r="X264" s="3" t="s">
        <v>24</v>
      </c>
      <c r="Y264" s="3" t="s">
        <v>39</v>
      </c>
      <c r="Z264" s="3" t="s">
        <v>23</v>
      </c>
      <c r="AA264" s="3" t="s">
        <v>23</v>
      </c>
      <c r="AB264" s="3" t="str">
        <f>IF(crimenes_cordoba_ampliado[[#This Row],[Hubo Arresto]]="Sí", "Resuelto", "Pendiente")</f>
        <v>Resuelto</v>
      </c>
      <c r="AC264" s="3" t="s">
        <v>183</v>
      </c>
      <c r="AD264" s="3"/>
    </row>
    <row r="265" spans="1:30" x14ac:dyDescent="0.25">
      <c r="A265">
        <v>254</v>
      </c>
      <c r="B265" s="1">
        <v>45186</v>
      </c>
      <c r="C265" s="33">
        <f t="shared" si="8"/>
        <v>45186</v>
      </c>
      <c r="D265" s="34">
        <f t="shared" si="9"/>
        <v>45186</v>
      </c>
      <c r="E265" s="35" t="s">
        <v>1449</v>
      </c>
      <c r="F265" s="2">
        <v>7.9861111111111105E-2</v>
      </c>
      <c r="G265" s="3" t="s">
        <v>45</v>
      </c>
      <c r="H265" s="3" t="s">
        <v>32</v>
      </c>
      <c r="I265" s="25" t="str">
        <f>VLOOKUP(H265,Tabla5[#All],4,FALSE)</f>
        <v>-31,4148488101991, -64,1793406489438</v>
      </c>
      <c r="J265" s="1">
        <v>21931</v>
      </c>
      <c r="K265" s="7">
        <f>INT((crimenes_cordoba_ampliado[[#This Row],[Fecha]]-crimenes_cordoba_ampliado[[#This Row],[Fecha Nac. Delincuente]])/365)</f>
        <v>63</v>
      </c>
      <c r="L265" s="7" t="str">
        <f>_xlfn.XLOOKUP(crimenes_cordoba_ampliado[[#This Row],[EDAD DELINCUENTE]],'Rango etareo'!$A$10:$A$25,'Rango etareo'!$B$10:$B$25,,-1)</f>
        <v>56 - 65</v>
      </c>
      <c r="M265" s="3" t="s">
        <v>22</v>
      </c>
      <c r="N265" s="3" t="str">
        <f>IF(crimenes_cordoba_ampliado[[#This Row],[Género Delincuente]]="Femenino","🚺","🚹")</f>
        <v>🚹</v>
      </c>
      <c r="O265">
        <v>2</v>
      </c>
      <c r="P265" s="1">
        <v>39920</v>
      </c>
      <c r="Q265" s="7">
        <f>INT((crimenes_cordoba_ampliado[[#This Row],[Fecha]]-crimenes_cordoba_ampliado[[#This Row],[Fecha Nac. Víctima]])/365)</f>
        <v>14</v>
      </c>
      <c r="R265" s="7" t="str">
        <f>_xlfn.XLOOKUP(crimenes_cordoba_ampliado[[#This Row],[EDAD VICTIMA]],'Rango etareo'!$A$2:$A$25,'Rango etareo'!$B$2:$B$25,,-1)</f>
        <v>&lt;=17</v>
      </c>
      <c r="S265" s="3" t="s">
        <v>22</v>
      </c>
      <c r="T265" s="3" t="str">
        <f>IF(crimenes_cordoba_ampliado[[#This Row],[Género Víctima]]="Masculino","🚹","🚺")</f>
        <v>🚹</v>
      </c>
      <c r="U265">
        <v>1</v>
      </c>
      <c r="V265" s="3" t="s">
        <v>23</v>
      </c>
      <c r="W265" s="3" t="s">
        <v>24</v>
      </c>
      <c r="X265" s="3" t="s">
        <v>29</v>
      </c>
      <c r="Y265" s="3" t="s">
        <v>24</v>
      </c>
      <c r="Z265" s="3" t="s">
        <v>25</v>
      </c>
      <c r="AA265" s="3" t="s">
        <v>25</v>
      </c>
      <c r="AB265" s="3" t="str">
        <f>IF(crimenes_cordoba_ampliado[[#This Row],[Hubo Arresto]]="Sí", "Resuelto", "Pendiente")</f>
        <v>Resuelto</v>
      </c>
      <c r="AC265" s="3" t="s">
        <v>153</v>
      </c>
      <c r="AD265" s="3"/>
    </row>
    <row r="266" spans="1:30" x14ac:dyDescent="0.25">
      <c r="A266">
        <v>529</v>
      </c>
      <c r="B266" s="1">
        <v>43065</v>
      </c>
      <c r="C266" s="33">
        <f t="shared" si="8"/>
        <v>43065</v>
      </c>
      <c r="D266" s="34">
        <f t="shared" si="9"/>
        <v>43065</v>
      </c>
      <c r="E266" s="35" t="s">
        <v>1449</v>
      </c>
      <c r="F266" s="2">
        <v>0.58402777777777781</v>
      </c>
      <c r="G266" s="3" t="s">
        <v>51</v>
      </c>
      <c r="H266" s="3" t="s">
        <v>20</v>
      </c>
      <c r="I266" s="25" t="str">
        <f>VLOOKUP(H266,Tabla5[#All],4,FALSE)</f>
        <v>-31,4800162965848, -64,2094200976892</v>
      </c>
      <c r="J266" s="1">
        <v>35697</v>
      </c>
      <c r="K266" s="7">
        <f>INT((crimenes_cordoba_ampliado[[#This Row],[Fecha]]-crimenes_cordoba_ampliado[[#This Row],[Fecha Nac. Delincuente]])/365)</f>
        <v>20</v>
      </c>
      <c r="L266" s="7" t="str">
        <f>_xlfn.XLOOKUP(crimenes_cordoba_ampliado[[#This Row],[EDAD DELINCUENTE]],'Rango etareo'!$A$10:$A$25,'Rango etareo'!$B$10:$B$25,,-1)</f>
        <v>18 - 25</v>
      </c>
      <c r="M266" s="3" t="s">
        <v>21</v>
      </c>
      <c r="N266" s="3" t="str">
        <f>IF(crimenes_cordoba_ampliado[[#This Row],[Género Delincuente]]="Femenino","🚺","🚹")</f>
        <v>🚺</v>
      </c>
      <c r="O266">
        <v>4</v>
      </c>
      <c r="P266" s="1">
        <v>27795</v>
      </c>
      <c r="Q266" s="7">
        <f>INT((crimenes_cordoba_ampliado[[#This Row],[Fecha]]-crimenes_cordoba_ampliado[[#This Row],[Fecha Nac. Víctima]])/365)</f>
        <v>41</v>
      </c>
      <c r="R266" s="7" t="str">
        <f>_xlfn.XLOOKUP(crimenes_cordoba_ampliado[[#This Row],[EDAD VICTIMA]],'Rango etareo'!$A$2:$A$25,'Rango etareo'!$B$2:$B$25,,-1)</f>
        <v>36 - 45</v>
      </c>
      <c r="S266" s="3" t="s">
        <v>21</v>
      </c>
      <c r="T266" s="3" t="str">
        <f>IF(crimenes_cordoba_ampliado[[#This Row],[Género Víctima]]="Masculino","🚹","🚺")</f>
        <v>🚺</v>
      </c>
      <c r="U266">
        <v>3</v>
      </c>
      <c r="V266" s="3" t="s">
        <v>25</v>
      </c>
      <c r="W266" s="3" t="s">
        <v>24</v>
      </c>
      <c r="X266" s="3" t="s">
        <v>24</v>
      </c>
      <c r="Y266" s="3" t="s">
        <v>53</v>
      </c>
      <c r="Z266" s="3" t="s">
        <v>23</v>
      </c>
      <c r="AA266" s="3" t="s">
        <v>23</v>
      </c>
      <c r="AB266" s="3" t="str">
        <f>IF(crimenes_cordoba_ampliado[[#This Row],[Hubo Arresto]]="Sí", "Resuelto", "Pendiente")</f>
        <v>Pendiente</v>
      </c>
      <c r="AC266" s="3" t="s">
        <v>24</v>
      </c>
      <c r="AD266" s="3"/>
    </row>
    <row r="267" spans="1:30" x14ac:dyDescent="0.25">
      <c r="A267">
        <v>817</v>
      </c>
      <c r="B267" s="1">
        <v>43075</v>
      </c>
      <c r="C267" s="33">
        <f t="shared" si="8"/>
        <v>43075</v>
      </c>
      <c r="D267" s="34">
        <f t="shared" si="9"/>
        <v>43075</v>
      </c>
      <c r="E267" s="35" t="s">
        <v>1450</v>
      </c>
      <c r="F267" s="2">
        <v>0.88958333333333328</v>
      </c>
      <c r="G267" s="3" t="s">
        <v>38</v>
      </c>
      <c r="H267" s="3" t="s">
        <v>55</v>
      </c>
      <c r="I267" s="25" t="str">
        <f>VLOOKUP(H267,Tabla5[#All],4,FALSE)</f>
        <v>-31,4015892433235, -64,160442876477</v>
      </c>
      <c r="J267" s="1">
        <v>22923</v>
      </c>
      <c r="K267" s="7">
        <f>INT((crimenes_cordoba_ampliado[[#This Row],[Fecha]]-crimenes_cordoba_ampliado[[#This Row],[Fecha Nac. Delincuente]])/365)</f>
        <v>55</v>
      </c>
      <c r="L267" s="7" t="str">
        <f>_xlfn.XLOOKUP(crimenes_cordoba_ampliado[[#This Row],[EDAD DELINCUENTE]],'Rango etareo'!$A$10:$A$25,'Rango etareo'!$B$10:$B$25,,-1)</f>
        <v>46 - 55</v>
      </c>
      <c r="M267" s="3" t="s">
        <v>21</v>
      </c>
      <c r="N267" s="3" t="str">
        <f>IF(crimenes_cordoba_ampliado[[#This Row],[Género Delincuente]]="Femenino","🚺","🚹")</f>
        <v>🚺</v>
      </c>
      <c r="O267">
        <v>4</v>
      </c>
      <c r="P267" s="1">
        <v>24447</v>
      </c>
      <c r="Q267" s="7">
        <f>INT((crimenes_cordoba_ampliado[[#This Row],[Fecha]]-crimenes_cordoba_ampliado[[#This Row],[Fecha Nac. Víctima]])/365)</f>
        <v>51</v>
      </c>
      <c r="R267" s="7" t="str">
        <f>_xlfn.XLOOKUP(crimenes_cordoba_ampliado[[#This Row],[EDAD VICTIMA]],'Rango etareo'!$A$2:$A$25,'Rango etareo'!$B$2:$B$25,,-1)</f>
        <v>46 - 55</v>
      </c>
      <c r="S267" s="3" t="s">
        <v>21</v>
      </c>
      <c r="T267" s="3" t="str">
        <f>IF(crimenes_cordoba_ampliado[[#This Row],[Género Víctima]]="Masculino","🚹","🚺")</f>
        <v>🚺</v>
      </c>
      <c r="U267">
        <v>3</v>
      </c>
      <c r="V267" s="3" t="s">
        <v>25</v>
      </c>
      <c r="W267" s="3" t="s">
        <v>24</v>
      </c>
      <c r="X267" s="3" t="s">
        <v>24</v>
      </c>
      <c r="Y267" s="3" t="s">
        <v>24</v>
      </c>
      <c r="Z267" s="3" t="s">
        <v>23</v>
      </c>
      <c r="AA267" s="3" t="s">
        <v>25</v>
      </c>
      <c r="AB267" s="3" t="str">
        <f>IF(crimenes_cordoba_ampliado[[#This Row],[Hubo Arresto]]="Sí", "Resuelto", "Pendiente")</f>
        <v>Pendiente</v>
      </c>
      <c r="AC267" s="3" t="s">
        <v>24</v>
      </c>
      <c r="AD267" s="3"/>
    </row>
    <row r="268" spans="1:30" x14ac:dyDescent="0.25">
      <c r="A268">
        <v>257</v>
      </c>
      <c r="B268" s="1">
        <v>45651</v>
      </c>
      <c r="C268" s="33">
        <f t="shared" si="8"/>
        <v>45651</v>
      </c>
      <c r="D268" s="34">
        <f t="shared" si="9"/>
        <v>45651</v>
      </c>
      <c r="E268" s="35" t="s">
        <v>1450</v>
      </c>
      <c r="F268" s="2">
        <v>6.3888888888888884E-2</v>
      </c>
      <c r="G268" s="3" t="s">
        <v>38</v>
      </c>
      <c r="H268" s="3" t="s">
        <v>20</v>
      </c>
      <c r="I268" s="25" t="str">
        <f>VLOOKUP(H268,Tabla5[#All],4,FALSE)</f>
        <v>-31,4800162965848, -64,2094200976892</v>
      </c>
      <c r="J268" s="1">
        <v>22657</v>
      </c>
      <c r="K268" s="7">
        <f>INT((crimenes_cordoba_ampliado[[#This Row],[Fecha]]-crimenes_cordoba_ampliado[[#This Row],[Fecha Nac. Delincuente]])/365)</f>
        <v>62</v>
      </c>
      <c r="L268" s="7" t="str">
        <f>_xlfn.XLOOKUP(crimenes_cordoba_ampliado[[#This Row],[EDAD DELINCUENTE]],'Rango etareo'!$A$10:$A$25,'Rango etareo'!$B$10:$B$25,,-1)</f>
        <v>56 - 65</v>
      </c>
      <c r="M268" s="3" t="s">
        <v>21</v>
      </c>
      <c r="N268" s="3" t="str">
        <f>IF(crimenes_cordoba_ampliado[[#This Row],[Género Delincuente]]="Femenino","🚺","🚹")</f>
        <v>🚺</v>
      </c>
      <c r="O268">
        <v>5</v>
      </c>
      <c r="P268" s="1">
        <v>35113</v>
      </c>
      <c r="Q268" s="7">
        <f>INT((crimenes_cordoba_ampliado[[#This Row],[Fecha]]-crimenes_cordoba_ampliado[[#This Row],[Fecha Nac. Víctima]])/365)</f>
        <v>28</v>
      </c>
      <c r="R268" s="7" t="str">
        <f>_xlfn.XLOOKUP(crimenes_cordoba_ampliado[[#This Row],[EDAD VICTIMA]],'Rango etareo'!$A$2:$A$25,'Rango etareo'!$B$2:$B$25,,-1)</f>
        <v>26 - 35</v>
      </c>
      <c r="S268" s="3" t="s">
        <v>22</v>
      </c>
      <c r="T268" s="3" t="str">
        <f>IF(crimenes_cordoba_ampliado[[#This Row],[Género Víctima]]="Masculino","🚹","🚺")</f>
        <v>🚹</v>
      </c>
      <c r="U268">
        <v>3</v>
      </c>
      <c r="V268" s="3" t="s">
        <v>23</v>
      </c>
      <c r="W268" s="3" t="s">
        <v>24</v>
      </c>
      <c r="X268" s="3" t="s">
        <v>50</v>
      </c>
      <c r="Y268" s="3" t="s">
        <v>24</v>
      </c>
      <c r="Z268" s="3" t="s">
        <v>25</v>
      </c>
      <c r="AA268" s="3" t="s">
        <v>25</v>
      </c>
      <c r="AB268" s="3" t="str">
        <f>IF(crimenes_cordoba_ampliado[[#This Row],[Hubo Arresto]]="Sí", "Resuelto", "Pendiente")</f>
        <v>Resuelto</v>
      </c>
      <c r="AC268" s="3" t="s">
        <v>184</v>
      </c>
      <c r="AD268" s="3"/>
    </row>
    <row r="269" spans="1:30" x14ac:dyDescent="0.25">
      <c r="A269">
        <v>577</v>
      </c>
      <c r="B269" s="1">
        <v>43096</v>
      </c>
      <c r="C269" s="33">
        <f t="shared" si="8"/>
        <v>43096</v>
      </c>
      <c r="D269" s="34">
        <f t="shared" si="9"/>
        <v>43096</v>
      </c>
      <c r="E269" s="35" t="s">
        <v>1450</v>
      </c>
      <c r="F269" s="2">
        <v>0.75069444444444444</v>
      </c>
      <c r="G269" s="3" t="s">
        <v>54</v>
      </c>
      <c r="H269" s="3" t="s">
        <v>55</v>
      </c>
      <c r="I269" s="25" t="str">
        <f>VLOOKUP(H269,Tabla5[#All],4,FALSE)</f>
        <v>-31,4015892433235, -64,160442876477</v>
      </c>
      <c r="J269" s="1">
        <v>28810</v>
      </c>
      <c r="K269" s="7">
        <f>INT((crimenes_cordoba_ampliado[[#This Row],[Fecha]]-crimenes_cordoba_ampliado[[#This Row],[Fecha Nac. Delincuente]])/365)</f>
        <v>39</v>
      </c>
      <c r="L269" s="7" t="str">
        <f>_xlfn.XLOOKUP(crimenes_cordoba_ampliado[[#This Row],[EDAD DELINCUENTE]],'Rango etareo'!$A$10:$A$25,'Rango etareo'!$B$10:$B$25,,-1)</f>
        <v>36 - 45</v>
      </c>
      <c r="M269" s="3" t="s">
        <v>22</v>
      </c>
      <c r="N269" s="3" t="str">
        <f>IF(crimenes_cordoba_ampliado[[#This Row],[Género Delincuente]]="Femenino","🚺","🚹")</f>
        <v>🚹</v>
      </c>
      <c r="O269">
        <v>5</v>
      </c>
      <c r="P269" s="1">
        <v>40747</v>
      </c>
      <c r="Q269" s="7">
        <f>INT((crimenes_cordoba_ampliado[[#This Row],[Fecha]]-crimenes_cordoba_ampliado[[#This Row],[Fecha Nac. Víctima]])/365)</f>
        <v>6</v>
      </c>
      <c r="R269" s="7" t="str">
        <f>_xlfn.XLOOKUP(crimenes_cordoba_ampliado[[#This Row],[EDAD VICTIMA]],'Rango etareo'!$A$2:$A$25,'Rango etareo'!$B$2:$B$25,,-1)</f>
        <v>&lt;=17</v>
      </c>
      <c r="S269" s="3" t="s">
        <v>22</v>
      </c>
      <c r="T269" s="3" t="str">
        <f>IF(crimenes_cordoba_ampliado[[#This Row],[Género Víctima]]="Masculino","🚹","🚺")</f>
        <v>🚹</v>
      </c>
      <c r="U269">
        <v>2</v>
      </c>
      <c r="V269" s="3" t="s">
        <v>25</v>
      </c>
      <c r="W269" s="3" t="s">
        <v>83</v>
      </c>
      <c r="X269" s="3" t="s">
        <v>67</v>
      </c>
      <c r="Y269" s="3" t="s">
        <v>24</v>
      </c>
      <c r="Z269" s="3" t="s">
        <v>23</v>
      </c>
      <c r="AA269" s="3" t="s">
        <v>23</v>
      </c>
      <c r="AB269" s="3" t="str">
        <f>IF(crimenes_cordoba_ampliado[[#This Row],[Hubo Arresto]]="Sí", "Resuelto", "Pendiente")</f>
        <v>Pendiente</v>
      </c>
      <c r="AC269" s="3" t="s">
        <v>24</v>
      </c>
      <c r="AD269" s="3"/>
    </row>
    <row r="270" spans="1:30" x14ac:dyDescent="0.25">
      <c r="A270">
        <v>428</v>
      </c>
      <c r="B270" s="1">
        <v>43098</v>
      </c>
      <c r="C270" s="33">
        <f t="shared" si="8"/>
        <v>43098</v>
      </c>
      <c r="D270" s="34">
        <f t="shared" si="9"/>
        <v>43098</v>
      </c>
      <c r="E270" s="35" t="s">
        <v>1455</v>
      </c>
      <c r="F270" s="2">
        <v>0.81736111111111109</v>
      </c>
      <c r="G270" s="3" t="s">
        <v>51</v>
      </c>
      <c r="H270" s="3" t="s">
        <v>60</v>
      </c>
      <c r="I270" s="25" t="str">
        <f>VLOOKUP(H270,Tabla5[#All],4,FALSE)</f>
        <v>-31,4076397196409, -64,2020170430678</v>
      </c>
      <c r="J270" s="1">
        <v>19422</v>
      </c>
      <c r="K270" s="7">
        <f>INT((crimenes_cordoba_ampliado[[#This Row],[Fecha]]-crimenes_cordoba_ampliado[[#This Row],[Fecha Nac. Delincuente]])/365)</f>
        <v>64</v>
      </c>
      <c r="L270" s="7" t="str">
        <f>_xlfn.XLOOKUP(crimenes_cordoba_ampliado[[#This Row],[EDAD DELINCUENTE]],'Rango etareo'!$A$10:$A$25,'Rango etareo'!$B$10:$B$25,,-1)</f>
        <v>56 - 65</v>
      </c>
      <c r="M270" s="3" t="s">
        <v>21</v>
      </c>
      <c r="N270" s="3" t="str">
        <f>IF(crimenes_cordoba_ampliado[[#This Row],[Género Delincuente]]="Femenino","🚺","🚹")</f>
        <v>🚺</v>
      </c>
      <c r="O270">
        <v>5</v>
      </c>
      <c r="P270" s="1">
        <v>14902</v>
      </c>
      <c r="Q270" s="7">
        <f>INT((crimenes_cordoba_ampliado[[#This Row],[Fecha]]-crimenes_cordoba_ampliado[[#This Row],[Fecha Nac. Víctima]])/365)</f>
        <v>77</v>
      </c>
      <c r="R270" s="7" t="str">
        <f>_xlfn.XLOOKUP(crimenes_cordoba_ampliado[[#This Row],[EDAD VICTIMA]],'Rango etareo'!$A$2:$A$25,'Rango etareo'!$B$2:$B$25,,-1)</f>
        <v>&gt;65</v>
      </c>
      <c r="S270" s="3" t="s">
        <v>21</v>
      </c>
      <c r="T270" s="3" t="str">
        <f>IF(crimenes_cordoba_ampliado[[#This Row],[Género Víctima]]="Masculino","🚹","🚺")</f>
        <v>🚺</v>
      </c>
      <c r="U270">
        <v>3</v>
      </c>
      <c r="V270" s="3" t="s">
        <v>25</v>
      </c>
      <c r="W270" s="3" t="s">
        <v>83</v>
      </c>
      <c r="X270" s="3" t="s">
        <v>67</v>
      </c>
      <c r="Y270" s="3" t="s">
        <v>24</v>
      </c>
      <c r="Z270" s="3" t="s">
        <v>25</v>
      </c>
      <c r="AA270" s="3" t="s">
        <v>25</v>
      </c>
      <c r="AB270" s="3" t="str">
        <f>IF(crimenes_cordoba_ampliado[[#This Row],[Hubo Arresto]]="Sí", "Resuelto", "Pendiente")</f>
        <v>Pendiente</v>
      </c>
      <c r="AC270" s="3" t="s">
        <v>24</v>
      </c>
      <c r="AD270" s="3"/>
    </row>
    <row r="271" spans="1:30" x14ac:dyDescent="0.25">
      <c r="A271">
        <v>339</v>
      </c>
      <c r="B271" s="1">
        <v>43099</v>
      </c>
      <c r="C271" s="33">
        <f t="shared" si="8"/>
        <v>43099</v>
      </c>
      <c r="D271" s="34">
        <f t="shared" si="9"/>
        <v>43099</v>
      </c>
      <c r="E271" s="35" t="s">
        <v>1451</v>
      </c>
      <c r="F271" s="2">
        <v>0.89027777777777772</v>
      </c>
      <c r="G271" s="3" t="s">
        <v>35</v>
      </c>
      <c r="H271" s="3" t="s">
        <v>28</v>
      </c>
      <c r="I271" s="25" t="str">
        <f>VLOOKUP(H271,Tabla5[#All],4,FALSE)</f>
        <v>-31,4129883640337, -64,1681120522587</v>
      </c>
      <c r="J271" s="1">
        <v>34466</v>
      </c>
      <c r="K271" s="7">
        <f>INT((crimenes_cordoba_ampliado[[#This Row],[Fecha]]-crimenes_cordoba_ampliado[[#This Row],[Fecha Nac. Delincuente]])/365)</f>
        <v>23</v>
      </c>
      <c r="L271" s="7" t="str">
        <f>_xlfn.XLOOKUP(crimenes_cordoba_ampliado[[#This Row],[EDAD DELINCUENTE]],'Rango etareo'!$A$10:$A$25,'Rango etareo'!$B$10:$B$25,,-1)</f>
        <v>18 - 25</v>
      </c>
      <c r="M271" s="3" t="s">
        <v>22</v>
      </c>
      <c r="N271" s="3" t="str">
        <f>IF(crimenes_cordoba_ampliado[[#This Row],[Género Delincuente]]="Femenino","🚺","🚹")</f>
        <v>🚹</v>
      </c>
      <c r="O271">
        <v>2</v>
      </c>
      <c r="P271" s="1">
        <v>21333</v>
      </c>
      <c r="Q271" s="7">
        <f>INT((crimenes_cordoba_ampliado[[#This Row],[Fecha]]-crimenes_cordoba_ampliado[[#This Row],[Fecha Nac. Víctima]])/365)</f>
        <v>59</v>
      </c>
      <c r="R271" s="7" t="str">
        <f>_xlfn.XLOOKUP(crimenes_cordoba_ampliado[[#This Row],[EDAD VICTIMA]],'Rango etareo'!$A$2:$A$25,'Rango etareo'!$B$2:$B$25,,-1)</f>
        <v>56 - 65</v>
      </c>
      <c r="S271" s="3" t="s">
        <v>21</v>
      </c>
      <c r="T271" s="3" t="str">
        <f>IF(crimenes_cordoba_ampliado[[#This Row],[Género Víctima]]="Masculino","🚹","🚺")</f>
        <v>🚺</v>
      </c>
      <c r="U271">
        <v>3</v>
      </c>
      <c r="V271" s="3" t="s">
        <v>25</v>
      </c>
      <c r="W271" s="3" t="s">
        <v>63</v>
      </c>
      <c r="X271" s="3" t="s">
        <v>24</v>
      </c>
      <c r="Y271" s="3" t="s">
        <v>101</v>
      </c>
      <c r="Z271" s="3" t="s">
        <v>25</v>
      </c>
      <c r="AA271" s="3" t="s">
        <v>23</v>
      </c>
      <c r="AB271" s="3" t="str">
        <f>IF(crimenes_cordoba_ampliado[[#This Row],[Hubo Arresto]]="Sí", "Resuelto", "Pendiente")</f>
        <v>Pendiente</v>
      </c>
      <c r="AC271" s="3" t="s">
        <v>24</v>
      </c>
      <c r="AD271" s="3"/>
    </row>
    <row r="272" spans="1:30" x14ac:dyDescent="0.25">
      <c r="A272">
        <v>259</v>
      </c>
      <c r="B272" s="1">
        <v>42007</v>
      </c>
      <c r="C272" s="33">
        <f t="shared" si="8"/>
        <v>42007</v>
      </c>
      <c r="D272" s="34">
        <f t="shared" si="9"/>
        <v>42007</v>
      </c>
      <c r="E272" s="35" t="s">
        <v>1451</v>
      </c>
      <c r="F272" s="2">
        <v>0.65069444444444446</v>
      </c>
      <c r="G272" s="3" t="s">
        <v>42</v>
      </c>
      <c r="H272" s="3" t="s">
        <v>20</v>
      </c>
      <c r="I272" s="25" t="str">
        <f>VLOOKUP(H272,Tabla5[#All],4,FALSE)</f>
        <v>-31,4800162965848, -64,2094200976892</v>
      </c>
      <c r="J272" s="1">
        <v>23431</v>
      </c>
      <c r="K272" s="7">
        <f>INT((crimenes_cordoba_ampliado[[#This Row],[Fecha]]-crimenes_cordoba_ampliado[[#This Row],[Fecha Nac. Delincuente]])/365)</f>
        <v>50</v>
      </c>
      <c r="L272" s="7" t="str">
        <f>_xlfn.XLOOKUP(crimenes_cordoba_ampliado[[#This Row],[EDAD DELINCUENTE]],'Rango etareo'!$A$10:$A$25,'Rango etareo'!$B$10:$B$25,,-1)</f>
        <v>46 - 55</v>
      </c>
      <c r="M272" s="3" t="s">
        <v>22</v>
      </c>
      <c r="N272" s="3" t="str">
        <f>IF(crimenes_cordoba_ampliado[[#This Row],[Género Delincuente]]="Femenino","🚺","🚹")</f>
        <v>🚹</v>
      </c>
      <c r="O272">
        <v>1</v>
      </c>
      <c r="P272" s="1">
        <v>19706</v>
      </c>
      <c r="Q272" s="7">
        <f>INT((crimenes_cordoba_ampliado[[#This Row],[Fecha]]-crimenes_cordoba_ampliado[[#This Row],[Fecha Nac. Víctima]])/365)</f>
        <v>61</v>
      </c>
      <c r="R272" s="7" t="str">
        <f>_xlfn.XLOOKUP(crimenes_cordoba_ampliado[[#This Row],[EDAD VICTIMA]],'Rango etareo'!$A$2:$A$25,'Rango etareo'!$B$2:$B$25,,-1)</f>
        <v>56 - 65</v>
      </c>
      <c r="S272" s="3" t="s">
        <v>21</v>
      </c>
      <c r="T272" s="3" t="str">
        <f>IF(crimenes_cordoba_ampliado[[#This Row],[Género Víctima]]="Masculino","🚹","🚺")</f>
        <v>🚺</v>
      </c>
      <c r="U272">
        <v>3</v>
      </c>
      <c r="V272" s="3" t="s">
        <v>23</v>
      </c>
      <c r="W272" s="3" t="s">
        <v>24</v>
      </c>
      <c r="X272" s="3" t="s">
        <v>29</v>
      </c>
      <c r="Y272" s="3" t="s">
        <v>24</v>
      </c>
      <c r="Z272" s="3" t="s">
        <v>23</v>
      </c>
      <c r="AA272" s="3" t="s">
        <v>25</v>
      </c>
      <c r="AB272" s="3" t="str">
        <f>IF(crimenes_cordoba_ampliado[[#This Row],[Hubo Arresto]]="Sí", "Resuelto", "Pendiente")</f>
        <v>Resuelto</v>
      </c>
      <c r="AC272" s="3" t="s">
        <v>185</v>
      </c>
      <c r="AD272" s="3"/>
    </row>
    <row r="273" spans="1:30" x14ac:dyDescent="0.25">
      <c r="A273">
        <v>260</v>
      </c>
      <c r="B273" s="1">
        <v>44668</v>
      </c>
      <c r="C273" s="33">
        <f t="shared" si="8"/>
        <v>44668</v>
      </c>
      <c r="D273" s="34">
        <f t="shared" si="9"/>
        <v>44668</v>
      </c>
      <c r="E273" s="35" t="s">
        <v>1449</v>
      </c>
      <c r="F273" s="2">
        <v>0.99375000000000002</v>
      </c>
      <c r="G273" s="3" t="s">
        <v>54</v>
      </c>
      <c r="H273" s="3" t="s">
        <v>32</v>
      </c>
      <c r="I273" s="25" t="str">
        <f>VLOOKUP(H273,Tabla5[#All],4,FALSE)</f>
        <v>-31,4148488101991, -64,1793406489438</v>
      </c>
      <c r="J273" s="1">
        <v>32577</v>
      </c>
      <c r="K273" s="7">
        <f>INT((crimenes_cordoba_ampliado[[#This Row],[Fecha]]-crimenes_cordoba_ampliado[[#This Row],[Fecha Nac. Delincuente]])/365)</f>
        <v>33</v>
      </c>
      <c r="L273" s="7" t="str">
        <f>_xlfn.XLOOKUP(crimenes_cordoba_ampliado[[#This Row],[EDAD DELINCUENTE]],'Rango etareo'!$A$10:$A$25,'Rango etareo'!$B$10:$B$25,,-1)</f>
        <v>26 - 35</v>
      </c>
      <c r="M273" s="3" t="s">
        <v>21</v>
      </c>
      <c r="N273" s="3" t="str">
        <f>IF(crimenes_cordoba_ampliado[[#This Row],[Género Delincuente]]="Femenino","🚺","🚹")</f>
        <v>🚺</v>
      </c>
      <c r="O273">
        <v>3</v>
      </c>
      <c r="P273" s="1">
        <v>21556</v>
      </c>
      <c r="Q273" s="7">
        <f>INT((crimenes_cordoba_ampliado[[#This Row],[Fecha]]-crimenes_cordoba_ampliado[[#This Row],[Fecha Nac. Víctima]])/365)</f>
        <v>63</v>
      </c>
      <c r="R273" s="7" t="str">
        <f>_xlfn.XLOOKUP(crimenes_cordoba_ampliado[[#This Row],[EDAD VICTIMA]],'Rango etareo'!$A$2:$A$25,'Rango etareo'!$B$2:$B$25,,-1)</f>
        <v>56 - 65</v>
      </c>
      <c r="S273" s="3" t="s">
        <v>21</v>
      </c>
      <c r="T273" s="3" t="str">
        <f>IF(crimenes_cordoba_ampliado[[#This Row],[Género Víctima]]="Masculino","🚹","🚺")</f>
        <v>🚺</v>
      </c>
      <c r="U273">
        <v>1</v>
      </c>
      <c r="V273" s="3" t="s">
        <v>23</v>
      </c>
      <c r="W273" s="3" t="s">
        <v>24</v>
      </c>
      <c r="X273" s="3" t="s">
        <v>24</v>
      </c>
      <c r="Y273" s="3" t="s">
        <v>46</v>
      </c>
      <c r="Z273" s="3" t="s">
        <v>23</v>
      </c>
      <c r="AA273" s="3" t="s">
        <v>25</v>
      </c>
      <c r="AB273" s="3" t="str">
        <f>IF(crimenes_cordoba_ampliado[[#This Row],[Hubo Arresto]]="Sí", "Resuelto", "Pendiente")</f>
        <v>Resuelto</v>
      </c>
      <c r="AC273" s="3" t="s">
        <v>186</v>
      </c>
      <c r="AD273" s="3"/>
    </row>
    <row r="274" spans="1:30" x14ac:dyDescent="0.25">
      <c r="A274">
        <v>880</v>
      </c>
      <c r="B274" s="1">
        <v>43116</v>
      </c>
      <c r="C274" s="33">
        <f t="shared" si="8"/>
        <v>43116</v>
      </c>
      <c r="D274" s="34">
        <f t="shared" si="9"/>
        <v>43116</v>
      </c>
      <c r="E274" s="35" t="s">
        <v>1453</v>
      </c>
      <c r="F274" s="2">
        <v>0.39027777777777778</v>
      </c>
      <c r="G274" s="3" t="s">
        <v>51</v>
      </c>
      <c r="H274" s="3" t="s">
        <v>32</v>
      </c>
      <c r="I274" s="25" t="str">
        <f>VLOOKUP(H274,Tabla5[#All],4,FALSE)</f>
        <v>-31,4148488101991, -64,1793406489438</v>
      </c>
      <c r="J274" s="1">
        <v>39074</v>
      </c>
      <c r="K274" s="7">
        <f>INT((crimenes_cordoba_ampliado[[#This Row],[Fecha]]-crimenes_cordoba_ampliado[[#This Row],[Fecha Nac. Delincuente]])/365)</f>
        <v>11</v>
      </c>
      <c r="L274" s="7" t="str">
        <f>_xlfn.XLOOKUP(crimenes_cordoba_ampliado[[#This Row],[EDAD DELINCUENTE]],'Rango etareo'!$A$10:$A$25,'Rango etareo'!$B$10:$B$25,,-1)</f>
        <v>&lt;=17</v>
      </c>
      <c r="M274" s="3" t="s">
        <v>22</v>
      </c>
      <c r="N274" s="3" t="str">
        <f>IF(crimenes_cordoba_ampliado[[#This Row],[Género Delincuente]]="Femenino","🚺","🚹")</f>
        <v>🚹</v>
      </c>
      <c r="O274">
        <v>1</v>
      </c>
      <c r="P274" s="1">
        <v>37221</v>
      </c>
      <c r="Q274" s="7">
        <f>INT((crimenes_cordoba_ampliado[[#This Row],[Fecha]]-crimenes_cordoba_ampliado[[#This Row],[Fecha Nac. Víctima]])/365)</f>
        <v>16</v>
      </c>
      <c r="R274" s="7" t="str">
        <f>_xlfn.XLOOKUP(crimenes_cordoba_ampliado[[#This Row],[EDAD VICTIMA]],'Rango etareo'!$A$2:$A$25,'Rango etareo'!$B$2:$B$25,,-1)</f>
        <v>&lt;=17</v>
      </c>
      <c r="S274" s="3" t="s">
        <v>22</v>
      </c>
      <c r="T274" s="3" t="str">
        <f>IF(crimenes_cordoba_ampliado[[#This Row],[Género Víctima]]="Masculino","🚹","🚺")</f>
        <v>🚹</v>
      </c>
      <c r="U274">
        <v>1</v>
      </c>
      <c r="V274" s="3" t="s">
        <v>25</v>
      </c>
      <c r="W274" s="3" t="s">
        <v>24</v>
      </c>
      <c r="X274" s="3" t="s">
        <v>24</v>
      </c>
      <c r="Y274" s="3" t="s">
        <v>56</v>
      </c>
      <c r="Z274" s="3" t="s">
        <v>25</v>
      </c>
      <c r="AA274" s="3" t="s">
        <v>25</v>
      </c>
      <c r="AB274" s="3" t="str">
        <f>IF(crimenes_cordoba_ampliado[[#This Row],[Hubo Arresto]]="Sí", "Resuelto", "Pendiente")</f>
        <v>Pendiente</v>
      </c>
      <c r="AC274" s="3" t="s">
        <v>24</v>
      </c>
      <c r="AD274" s="3"/>
    </row>
    <row r="275" spans="1:30" x14ac:dyDescent="0.25">
      <c r="A275">
        <v>261</v>
      </c>
      <c r="B275" s="1">
        <v>45103</v>
      </c>
      <c r="C275" s="33">
        <f t="shared" si="8"/>
        <v>45103</v>
      </c>
      <c r="D275" s="34">
        <f t="shared" si="9"/>
        <v>45103</v>
      </c>
      <c r="E275" s="35" t="s">
        <v>1452</v>
      </c>
      <c r="F275" s="2">
        <v>0.64236111111111116</v>
      </c>
      <c r="G275" s="3" t="s">
        <v>42</v>
      </c>
      <c r="H275" s="3" t="s">
        <v>62</v>
      </c>
      <c r="I275" s="25" t="str">
        <f>VLOOKUP(H275,Tabla5[#All],4,FALSE)</f>
        <v>-31,3909520937826, -64,1836424491715</v>
      </c>
      <c r="J275" s="1">
        <v>29804</v>
      </c>
      <c r="K275" s="7">
        <f>INT((crimenes_cordoba_ampliado[[#This Row],[Fecha]]-crimenes_cordoba_ampliado[[#This Row],[Fecha Nac. Delincuente]])/365)</f>
        <v>41</v>
      </c>
      <c r="L275" s="7" t="str">
        <f>_xlfn.XLOOKUP(crimenes_cordoba_ampliado[[#This Row],[EDAD DELINCUENTE]],'Rango etareo'!$A$10:$A$25,'Rango etareo'!$B$10:$B$25,,-1)</f>
        <v>36 - 45</v>
      </c>
      <c r="M275" s="3" t="s">
        <v>21</v>
      </c>
      <c r="N275" s="3" t="str">
        <f>IF(crimenes_cordoba_ampliado[[#This Row],[Género Delincuente]]="Femenino","🚺","🚹")</f>
        <v>🚺</v>
      </c>
      <c r="O275">
        <v>1</v>
      </c>
      <c r="P275" s="1">
        <v>32296</v>
      </c>
      <c r="Q275" s="7">
        <f>INT((crimenes_cordoba_ampliado[[#This Row],[Fecha]]-crimenes_cordoba_ampliado[[#This Row],[Fecha Nac. Víctima]])/365)</f>
        <v>35</v>
      </c>
      <c r="R275" s="7" t="str">
        <f>_xlfn.XLOOKUP(crimenes_cordoba_ampliado[[#This Row],[EDAD VICTIMA]],'Rango etareo'!$A$2:$A$25,'Rango etareo'!$B$2:$B$25,,-1)</f>
        <v>26 - 35</v>
      </c>
      <c r="S275" s="3" t="s">
        <v>22</v>
      </c>
      <c r="T275" s="3" t="str">
        <f>IF(crimenes_cordoba_ampliado[[#This Row],[Género Víctima]]="Masculino","🚹","🚺")</f>
        <v>🚹</v>
      </c>
      <c r="U275">
        <v>2</v>
      </c>
      <c r="V275" s="3" t="s">
        <v>23</v>
      </c>
      <c r="W275" s="3" t="s">
        <v>24</v>
      </c>
      <c r="X275" s="3" t="s">
        <v>24</v>
      </c>
      <c r="Y275" s="3" t="s">
        <v>53</v>
      </c>
      <c r="Z275" s="3" t="s">
        <v>25</v>
      </c>
      <c r="AA275" s="3" t="s">
        <v>25</v>
      </c>
      <c r="AB275" s="3" t="str">
        <f>IF(crimenes_cordoba_ampliado[[#This Row],[Hubo Arresto]]="Sí", "Resuelto", "Pendiente")</f>
        <v>Resuelto</v>
      </c>
      <c r="AC275" s="3" t="s">
        <v>187</v>
      </c>
      <c r="AD275" s="3"/>
    </row>
    <row r="276" spans="1:30" x14ac:dyDescent="0.25">
      <c r="A276">
        <v>262</v>
      </c>
      <c r="B276" s="1">
        <v>43292</v>
      </c>
      <c r="C276" s="33">
        <f t="shared" si="8"/>
        <v>43292</v>
      </c>
      <c r="D276" s="34">
        <f t="shared" si="9"/>
        <v>43292</v>
      </c>
      <c r="E276" s="35" t="s">
        <v>1450</v>
      </c>
      <c r="F276" s="2">
        <v>0.85902777777777772</v>
      </c>
      <c r="G276" s="3" t="s">
        <v>19</v>
      </c>
      <c r="H276" s="3" t="s">
        <v>49</v>
      </c>
      <c r="I276" s="25" t="str">
        <f>VLOOKUP(H276,Tabla5[#All],4,FALSE)</f>
        <v>-31,4506257494184, -64,1733054344705</v>
      </c>
      <c r="J276" s="1">
        <v>37119</v>
      </c>
      <c r="K276" s="7">
        <f>INT((crimenes_cordoba_ampliado[[#This Row],[Fecha]]-crimenes_cordoba_ampliado[[#This Row],[Fecha Nac. Delincuente]])/365)</f>
        <v>16</v>
      </c>
      <c r="L276" s="7" t="str">
        <f>_xlfn.XLOOKUP(crimenes_cordoba_ampliado[[#This Row],[EDAD DELINCUENTE]],'Rango etareo'!$A$10:$A$25,'Rango etareo'!$B$10:$B$25,,-1)</f>
        <v>&lt;=17</v>
      </c>
      <c r="M276" s="3" t="s">
        <v>21</v>
      </c>
      <c r="N276" s="3" t="str">
        <f>IF(crimenes_cordoba_ampliado[[#This Row],[Género Delincuente]]="Femenino","🚺","🚹")</f>
        <v>🚺</v>
      </c>
      <c r="O276">
        <v>2</v>
      </c>
      <c r="P276" s="1">
        <v>17989</v>
      </c>
      <c r="Q276" s="7">
        <f>INT((crimenes_cordoba_ampliado[[#This Row],[Fecha]]-crimenes_cordoba_ampliado[[#This Row],[Fecha Nac. Víctima]])/365)</f>
        <v>69</v>
      </c>
      <c r="R276" s="7" t="str">
        <f>_xlfn.XLOOKUP(crimenes_cordoba_ampliado[[#This Row],[EDAD VICTIMA]],'Rango etareo'!$A$2:$A$25,'Rango etareo'!$B$2:$B$25,,-1)</f>
        <v>&gt;65</v>
      </c>
      <c r="S276" s="3" t="s">
        <v>22</v>
      </c>
      <c r="T276" s="3" t="str">
        <f>IF(crimenes_cordoba_ampliado[[#This Row],[Género Víctima]]="Masculino","🚹","🚺")</f>
        <v>🚹</v>
      </c>
      <c r="U276">
        <v>3</v>
      </c>
      <c r="V276" s="3" t="s">
        <v>23</v>
      </c>
      <c r="W276" s="3" t="s">
        <v>83</v>
      </c>
      <c r="X276" s="3" t="s">
        <v>41</v>
      </c>
      <c r="Y276" s="3" t="s">
        <v>24</v>
      </c>
      <c r="Z276" s="3" t="s">
        <v>23</v>
      </c>
      <c r="AA276" s="3" t="s">
        <v>23</v>
      </c>
      <c r="AB276" s="3" t="str">
        <f>IF(crimenes_cordoba_ampliado[[#This Row],[Hubo Arresto]]="Sí", "Resuelto", "Pendiente")</f>
        <v>Resuelto</v>
      </c>
      <c r="AC276" s="3" t="s">
        <v>82</v>
      </c>
      <c r="AD276" s="3"/>
    </row>
    <row r="277" spans="1:30" x14ac:dyDescent="0.25">
      <c r="A277">
        <v>264</v>
      </c>
      <c r="B277" s="1">
        <v>44122</v>
      </c>
      <c r="C277" s="33">
        <f t="shared" si="8"/>
        <v>44122</v>
      </c>
      <c r="D277" s="34">
        <f t="shared" si="9"/>
        <v>44122</v>
      </c>
      <c r="E277" s="35" t="s">
        <v>1449</v>
      </c>
      <c r="F277" s="2">
        <v>0.41736111111111113</v>
      </c>
      <c r="G277" s="3" t="s">
        <v>48</v>
      </c>
      <c r="H277" s="3" t="s">
        <v>65</v>
      </c>
      <c r="I277" s="25" t="str">
        <f>VLOOKUP(H277,Tabla5[#All],4,FALSE)</f>
        <v>-31,4285567311661, -64,1853198281007</v>
      </c>
      <c r="J277" s="1">
        <v>31217</v>
      </c>
      <c r="K277" s="7">
        <f>INT((crimenes_cordoba_ampliado[[#This Row],[Fecha]]-crimenes_cordoba_ampliado[[#This Row],[Fecha Nac. Delincuente]])/365)</f>
        <v>35</v>
      </c>
      <c r="L277" s="7" t="str">
        <f>_xlfn.XLOOKUP(crimenes_cordoba_ampliado[[#This Row],[EDAD DELINCUENTE]],'Rango etareo'!$A$10:$A$25,'Rango etareo'!$B$10:$B$25,,-1)</f>
        <v>26 - 35</v>
      </c>
      <c r="M277" s="3" t="s">
        <v>21</v>
      </c>
      <c r="N277" s="3" t="str">
        <f>IF(crimenes_cordoba_ampliado[[#This Row],[Género Delincuente]]="Femenino","🚺","🚹")</f>
        <v>🚺</v>
      </c>
      <c r="O277">
        <v>4</v>
      </c>
      <c r="P277" s="1">
        <v>24098</v>
      </c>
      <c r="Q277" s="7">
        <f>INT((crimenes_cordoba_ampliado[[#This Row],[Fecha]]-crimenes_cordoba_ampliado[[#This Row],[Fecha Nac. Víctima]])/365)</f>
        <v>54</v>
      </c>
      <c r="R277" s="7" t="str">
        <f>_xlfn.XLOOKUP(crimenes_cordoba_ampliado[[#This Row],[EDAD VICTIMA]],'Rango etareo'!$A$2:$A$25,'Rango etareo'!$B$2:$B$25,,-1)</f>
        <v>46 - 55</v>
      </c>
      <c r="S277" s="3" t="s">
        <v>22</v>
      </c>
      <c r="T277" s="3" t="str">
        <f>IF(crimenes_cordoba_ampliado[[#This Row],[Género Víctima]]="Masculino","🚹","🚺")</f>
        <v>🚹</v>
      </c>
      <c r="U277">
        <v>2</v>
      </c>
      <c r="V277" s="3" t="s">
        <v>23</v>
      </c>
      <c r="W277" s="3" t="s">
        <v>24</v>
      </c>
      <c r="X277" s="3" t="s">
        <v>24</v>
      </c>
      <c r="Y277" s="3" t="s">
        <v>56</v>
      </c>
      <c r="Z277" s="3" t="s">
        <v>25</v>
      </c>
      <c r="AA277" s="3" t="s">
        <v>25</v>
      </c>
      <c r="AB277" s="3" t="str">
        <f>IF(crimenes_cordoba_ampliado[[#This Row],[Hubo Arresto]]="Sí", "Resuelto", "Pendiente")</f>
        <v>Resuelto</v>
      </c>
      <c r="AC277" s="3" t="s">
        <v>188</v>
      </c>
      <c r="AD277" s="3"/>
    </row>
    <row r="278" spans="1:30" x14ac:dyDescent="0.25">
      <c r="A278">
        <v>265</v>
      </c>
      <c r="B278" s="1">
        <v>44945</v>
      </c>
      <c r="C278" s="33">
        <f t="shared" si="8"/>
        <v>44945</v>
      </c>
      <c r="D278" s="34">
        <f t="shared" si="9"/>
        <v>44945</v>
      </c>
      <c r="E278" s="35" t="s">
        <v>1454</v>
      </c>
      <c r="F278" s="2">
        <v>0.90138888888888891</v>
      </c>
      <c r="G278" s="3" t="s">
        <v>54</v>
      </c>
      <c r="H278" s="3" t="s">
        <v>70</v>
      </c>
      <c r="I278" s="25" t="str">
        <f>VLOOKUP(H278,Tabla5[#All],4,FALSE)</f>
        <v>-31,3759272890294, -64,2284587792478</v>
      </c>
      <c r="J278" s="1">
        <v>20741</v>
      </c>
      <c r="K278" s="7">
        <f>INT((crimenes_cordoba_ampliado[[#This Row],[Fecha]]-crimenes_cordoba_ampliado[[#This Row],[Fecha Nac. Delincuente]])/365)</f>
        <v>66</v>
      </c>
      <c r="L278" s="7" t="str">
        <f>_xlfn.XLOOKUP(crimenes_cordoba_ampliado[[#This Row],[EDAD DELINCUENTE]],'Rango etareo'!$A$10:$A$25,'Rango etareo'!$B$10:$B$25,,-1)</f>
        <v>&gt;65</v>
      </c>
      <c r="M278" s="3" t="s">
        <v>21</v>
      </c>
      <c r="N278" s="3" t="str">
        <f>IF(crimenes_cordoba_ampliado[[#This Row],[Género Delincuente]]="Femenino","🚺","🚹")</f>
        <v>🚺</v>
      </c>
      <c r="O278">
        <v>2</v>
      </c>
      <c r="P278" s="1">
        <v>38240</v>
      </c>
      <c r="Q278" s="7">
        <f>INT((crimenes_cordoba_ampliado[[#This Row],[Fecha]]-crimenes_cordoba_ampliado[[#This Row],[Fecha Nac. Víctima]])/365)</f>
        <v>18</v>
      </c>
      <c r="R278" s="7" t="str">
        <f>_xlfn.XLOOKUP(crimenes_cordoba_ampliado[[#This Row],[EDAD VICTIMA]],'Rango etareo'!$A$2:$A$25,'Rango etareo'!$B$2:$B$25,,-1)</f>
        <v>18 - 25</v>
      </c>
      <c r="S278" s="3" t="s">
        <v>21</v>
      </c>
      <c r="T278" s="3" t="str">
        <f>IF(crimenes_cordoba_ampliado[[#This Row],[Género Víctima]]="Masculino","🚹","🚺")</f>
        <v>🚺</v>
      </c>
      <c r="U278">
        <v>3</v>
      </c>
      <c r="V278" s="3" t="s">
        <v>23</v>
      </c>
      <c r="W278" s="3" t="s">
        <v>24</v>
      </c>
      <c r="X278" s="3" t="s">
        <v>24</v>
      </c>
      <c r="Y278" s="3" t="s">
        <v>98</v>
      </c>
      <c r="Z278" s="3" t="s">
        <v>25</v>
      </c>
      <c r="AA278" s="3" t="s">
        <v>25</v>
      </c>
      <c r="AB278" s="3" t="str">
        <f>IF(crimenes_cordoba_ampliado[[#This Row],[Hubo Arresto]]="Sí", "Resuelto", "Pendiente")</f>
        <v>Resuelto</v>
      </c>
      <c r="AC278" s="3" t="s">
        <v>189</v>
      </c>
      <c r="AD278" s="3"/>
    </row>
    <row r="279" spans="1:30" x14ac:dyDescent="0.25">
      <c r="A279">
        <v>964</v>
      </c>
      <c r="B279" s="1">
        <v>43127</v>
      </c>
      <c r="C279" s="33">
        <f t="shared" si="8"/>
        <v>43127</v>
      </c>
      <c r="D279" s="34">
        <f t="shared" si="9"/>
        <v>43127</v>
      </c>
      <c r="E279" s="35" t="s">
        <v>1451</v>
      </c>
      <c r="F279" s="2">
        <v>0.82222222222222219</v>
      </c>
      <c r="G279" s="3" t="s">
        <v>81</v>
      </c>
      <c r="H279" s="3" t="s">
        <v>62</v>
      </c>
      <c r="I279" s="25" t="str">
        <f>VLOOKUP(H279,Tabla5[#All],4,FALSE)</f>
        <v>-31,3909520937826, -64,1836424491715</v>
      </c>
      <c r="J279" s="1">
        <v>32255</v>
      </c>
      <c r="K279" s="7">
        <f>INT((crimenes_cordoba_ampliado[[#This Row],[Fecha]]-crimenes_cordoba_ampliado[[#This Row],[Fecha Nac. Delincuente]])/365)</f>
        <v>29</v>
      </c>
      <c r="L279" s="7" t="str">
        <f>_xlfn.XLOOKUP(crimenes_cordoba_ampliado[[#This Row],[EDAD DELINCUENTE]],'Rango etareo'!$A$10:$A$25,'Rango etareo'!$B$10:$B$25,,-1)</f>
        <v>26 - 35</v>
      </c>
      <c r="M279" s="3" t="s">
        <v>22</v>
      </c>
      <c r="N279" s="3" t="str">
        <f>IF(crimenes_cordoba_ampliado[[#This Row],[Género Delincuente]]="Femenino","🚺","🚹")</f>
        <v>🚹</v>
      </c>
      <c r="O279">
        <v>2</v>
      </c>
      <c r="P279" s="1">
        <v>16109</v>
      </c>
      <c r="Q279" s="7">
        <f>INT((crimenes_cordoba_ampliado[[#This Row],[Fecha]]-crimenes_cordoba_ampliado[[#This Row],[Fecha Nac. Víctima]])/365)</f>
        <v>74</v>
      </c>
      <c r="R279" s="7" t="str">
        <f>_xlfn.XLOOKUP(crimenes_cordoba_ampliado[[#This Row],[EDAD VICTIMA]],'Rango etareo'!$A$2:$A$25,'Rango etareo'!$B$2:$B$25,,-1)</f>
        <v>&gt;65</v>
      </c>
      <c r="S279" s="3" t="s">
        <v>22</v>
      </c>
      <c r="T279" s="3" t="str">
        <f>IF(crimenes_cordoba_ampliado[[#This Row],[Género Víctima]]="Masculino","🚹","🚺")</f>
        <v>🚹</v>
      </c>
      <c r="U279">
        <v>2</v>
      </c>
      <c r="V279" s="3" t="s">
        <v>25</v>
      </c>
      <c r="W279" s="3" t="s">
        <v>24</v>
      </c>
      <c r="X279" s="3" t="s">
        <v>41</v>
      </c>
      <c r="Y279" s="3" t="s">
        <v>24</v>
      </c>
      <c r="Z279" s="3" t="s">
        <v>25</v>
      </c>
      <c r="AA279" s="3" t="s">
        <v>23</v>
      </c>
      <c r="AB279" s="3" t="str">
        <f>IF(crimenes_cordoba_ampliado[[#This Row],[Hubo Arresto]]="Sí", "Resuelto", "Pendiente")</f>
        <v>Pendiente</v>
      </c>
      <c r="AC279" s="3" t="s">
        <v>24</v>
      </c>
      <c r="AD279" s="3"/>
    </row>
    <row r="280" spans="1:30" x14ac:dyDescent="0.25">
      <c r="A280">
        <v>268</v>
      </c>
      <c r="B280" s="1">
        <v>44792</v>
      </c>
      <c r="C280" s="33">
        <f t="shared" si="8"/>
        <v>44792</v>
      </c>
      <c r="D280" s="34">
        <f t="shared" si="9"/>
        <v>44792</v>
      </c>
      <c r="E280" s="35" t="s">
        <v>1455</v>
      </c>
      <c r="F280" s="2">
        <v>0.27500000000000002</v>
      </c>
      <c r="G280" s="3" t="s">
        <v>79</v>
      </c>
      <c r="H280" s="3" t="s">
        <v>55</v>
      </c>
      <c r="I280" s="25" t="str">
        <f>VLOOKUP(H280,Tabla5[#All],4,FALSE)</f>
        <v>-31,4015892433235, -64,160442876477</v>
      </c>
      <c r="J280" s="1">
        <v>30240</v>
      </c>
      <c r="K280" s="7">
        <f>INT((crimenes_cordoba_ampliado[[#This Row],[Fecha]]-crimenes_cordoba_ampliado[[#This Row],[Fecha Nac. Delincuente]])/365)</f>
        <v>39</v>
      </c>
      <c r="L280" s="7" t="str">
        <f>_xlfn.XLOOKUP(crimenes_cordoba_ampliado[[#This Row],[EDAD DELINCUENTE]],'Rango etareo'!$A$10:$A$25,'Rango etareo'!$B$10:$B$25,,-1)</f>
        <v>36 - 45</v>
      </c>
      <c r="M280" s="3" t="s">
        <v>21</v>
      </c>
      <c r="N280" s="3" t="str">
        <f>IF(crimenes_cordoba_ampliado[[#This Row],[Género Delincuente]]="Femenino","🚺","🚹")</f>
        <v>🚺</v>
      </c>
      <c r="O280">
        <v>4</v>
      </c>
      <c r="P280" s="1">
        <v>21798</v>
      </c>
      <c r="Q280" s="7">
        <f>INT((crimenes_cordoba_ampliado[[#This Row],[Fecha]]-crimenes_cordoba_ampliado[[#This Row],[Fecha Nac. Víctima]])/365)</f>
        <v>62</v>
      </c>
      <c r="R280" s="7" t="str">
        <f>_xlfn.XLOOKUP(crimenes_cordoba_ampliado[[#This Row],[EDAD VICTIMA]],'Rango etareo'!$A$2:$A$25,'Rango etareo'!$B$2:$B$25,,-1)</f>
        <v>56 - 65</v>
      </c>
      <c r="S280" s="3" t="s">
        <v>22</v>
      </c>
      <c r="T280" s="3" t="str">
        <f>IF(crimenes_cordoba_ampliado[[#This Row],[Género Víctima]]="Masculino","🚹","🚺")</f>
        <v>🚹</v>
      </c>
      <c r="U280">
        <v>3</v>
      </c>
      <c r="V280" s="3" t="s">
        <v>23</v>
      </c>
      <c r="W280" s="3" t="s">
        <v>24</v>
      </c>
      <c r="X280" s="3" t="s">
        <v>24</v>
      </c>
      <c r="Y280" s="3" t="s">
        <v>46</v>
      </c>
      <c r="Z280" s="3" t="s">
        <v>25</v>
      </c>
      <c r="AA280" s="3" t="s">
        <v>25</v>
      </c>
      <c r="AB280" s="3" t="str">
        <f>IF(crimenes_cordoba_ampliado[[#This Row],[Hubo Arresto]]="Sí", "Resuelto", "Pendiente")</f>
        <v>Resuelto</v>
      </c>
      <c r="AC280" s="3" t="s">
        <v>147</v>
      </c>
      <c r="AD280" s="3"/>
    </row>
    <row r="281" spans="1:30" x14ac:dyDescent="0.25">
      <c r="A281">
        <v>205</v>
      </c>
      <c r="B281" s="1">
        <v>43137</v>
      </c>
      <c r="C281" s="33">
        <f t="shared" si="8"/>
        <v>43137</v>
      </c>
      <c r="D281" s="34">
        <f t="shared" si="9"/>
        <v>43137</v>
      </c>
      <c r="E281" s="35" t="s">
        <v>1453</v>
      </c>
      <c r="F281" s="2">
        <v>0.32708333333333334</v>
      </c>
      <c r="G281" s="3" t="s">
        <v>54</v>
      </c>
      <c r="H281" s="3" t="s">
        <v>28</v>
      </c>
      <c r="I281" s="25" t="str">
        <f>VLOOKUP(H281,Tabla5[#All],4,FALSE)</f>
        <v>-31,4129883640337, -64,1681120522587</v>
      </c>
      <c r="J281" s="1">
        <v>24163</v>
      </c>
      <c r="K281" s="7">
        <f>INT((crimenes_cordoba_ampliado[[#This Row],[Fecha]]-crimenes_cordoba_ampliado[[#This Row],[Fecha Nac. Delincuente]])/365)</f>
        <v>51</v>
      </c>
      <c r="L281" s="7" t="str">
        <f>_xlfn.XLOOKUP(crimenes_cordoba_ampliado[[#This Row],[EDAD DELINCUENTE]],'Rango etareo'!$A$10:$A$25,'Rango etareo'!$B$10:$B$25,,-1)</f>
        <v>46 - 55</v>
      </c>
      <c r="M281" s="3" t="s">
        <v>21</v>
      </c>
      <c r="N281" s="3" t="str">
        <f>IF(crimenes_cordoba_ampliado[[#This Row],[Género Delincuente]]="Femenino","🚺","🚹")</f>
        <v>🚺</v>
      </c>
      <c r="O281">
        <v>1</v>
      </c>
      <c r="P281" s="1">
        <v>35814</v>
      </c>
      <c r="Q281" s="7">
        <f>INT((crimenes_cordoba_ampliado[[#This Row],[Fecha]]-crimenes_cordoba_ampliado[[#This Row],[Fecha Nac. Víctima]])/365)</f>
        <v>20</v>
      </c>
      <c r="R281" s="7" t="str">
        <f>_xlfn.XLOOKUP(crimenes_cordoba_ampliado[[#This Row],[EDAD VICTIMA]],'Rango etareo'!$A$2:$A$25,'Rango etareo'!$B$2:$B$25,,-1)</f>
        <v>18 - 25</v>
      </c>
      <c r="S281" s="3" t="s">
        <v>21</v>
      </c>
      <c r="T281" s="3" t="str">
        <f>IF(crimenes_cordoba_ampliado[[#This Row],[Género Víctima]]="Masculino","🚹","🚺")</f>
        <v>🚺</v>
      </c>
      <c r="U281">
        <v>3</v>
      </c>
      <c r="V281" s="3" t="s">
        <v>25</v>
      </c>
      <c r="W281" s="3" t="s">
        <v>24</v>
      </c>
      <c r="X281" s="3" t="s">
        <v>24</v>
      </c>
      <c r="Y281" s="3" t="s">
        <v>53</v>
      </c>
      <c r="Z281" s="3" t="s">
        <v>23</v>
      </c>
      <c r="AA281" s="3" t="s">
        <v>25</v>
      </c>
      <c r="AB281" s="3" t="str">
        <f>IF(crimenes_cordoba_ampliado[[#This Row],[Hubo Arresto]]="Sí", "Resuelto", "Pendiente")</f>
        <v>Pendiente</v>
      </c>
      <c r="AC281" s="3" t="s">
        <v>24</v>
      </c>
      <c r="AD281" s="3"/>
    </row>
    <row r="282" spans="1:30" x14ac:dyDescent="0.25">
      <c r="A282">
        <v>34</v>
      </c>
      <c r="B282" s="1">
        <v>43138</v>
      </c>
      <c r="C282" s="33">
        <f t="shared" si="8"/>
        <v>43138</v>
      </c>
      <c r="D282" s="34">
        <f t="shared" si="9"/>
        <v>43138</v>
      </c>
      <c r="E282" s="35" t="s">
        <v>1450</v>
      </c>
      <c r="F282" s="2">
        <v>0.87847222222222221</v>
      </c>
      <c r="G282" s="3" t="s">
        <v>54</v>
      </c>
      <c r="H282" s="3" t="s">
        <v>52</v>
      </c>
      <c r="I282" s="25" t="str">
        <f>VLOOKUP(H282,Tabla5[#All],4,FALSE)</f>
        <v>-31,3477902896523, -64,2644406169297</v>
      </c>
      <c r="J282" s="1">
        <v>26112</v>
      </c>
      <c r="K282" s="7">
        <f>INT((crimenes_cordoba_ampliado[[#This Row],[Fecha]]-crimenes_cordoba_ampliado[[#This Row],[Fecha Nac. Delincuente]])/365)</f>
        <v>46</v>
      </c>
      <c r="L282" s="7" t="str">
        <f>_xlfn.XLOOKUP(crimenes_cordoba_ampliado[[#This Row],[EDAD DELINCUENTE]],'Rango etareo'!$A$10:$A$25,'Rango etareo'!$B$10:$B$25,,-1)</f>
        <v>46 - 55</v>
      </c>
      <c r="M282" s="3" t="s">
        <v>21</v>
      </c>
      <c r="N282" s="3" t="str">
        <f>IF(crimenes_cordoba_ampliado[[#This Row],[Género Delincuente]]="Femenino","🚺","🚹")</f>
        <v>🚺</v>
      </c>
      <c r="O282">
        <v>1</v>
      </c>
      <c r="P282" s="1">
        <v>17718</v>
      </c>
      <c r="Q282" s="7">
        <f>INT((crimenes_cordoba_ampliado[[#This Row],[Fecha]]-crimenes_cordoba_ampliado[[#This Row],[Fecha Nac. Víctima]])/365)</f>
        <v>69</v>
      </c>
      <c r="R282" s="7" t="str">
        <f>_xlfn.XLOOKUP(crimenes_cordoba_ampliado[[#This Row],[EDAD VICTIMA]],'Rango etareo'!$A$2:$A$25,'Rango etareo'!$B$2:$B$25,,-1)</f>
        <v>&gt;65</v>
      </c>
      <c r="S282" s="3" t="s">
        <v>22</v>
      </c>
      <c r="T282" s="3" t="str">
        <f>IF(crimenes_cordoba_ampliado[[#This Row],[Género Víctima]]="Masculino","🚹","🚺")</f>
        <v>🚹</v>
      </c>
      <c r="U282">
        <v>2</v>
      </c>
      <c r="V282" s="3" t="s">
        <v>25</v>
      </c>
      <c r="W282" s="3" t="s">
        <v>83</v>
      </c>
      <c r="X282" s="3" t="s">
        <v>29</v>
      </c>
      <c r="Y282" s="3" t="s">
        <v>24</v>
      </c>
      <c r="Z282" s="3" t="s">
        <v>25</v>
      </c>
      <c r="AA282" s="3" t="s">
        <v>25</v>
      </c>
      <c r="AB282" s="3" t="str">
        <f>IF(crimenes_cordoba_ampliado[[#This Row],[Hubo Arresto]]="Sí", "Resuelto", "Pendiente")</f>
        <v>Pendiente</v>
      </c>
      <c r="AC282" s="3" t="s">
        <v>24</v>
      </c>
      <c r="AD282" s="3"/>
    </row>
    <row r="283" spans="1:30" x14ac:dyDescent="0.25">
      <c r="A283">
        <v>271</v>
      </c>
      <c r="B283" s="1">
        <v>43324</v>
      </c>
      <c r="C283" s="33">
        <f t="shared" si="8"/>
        <v>43324</v>
      </c>
      <c r="D283" s="34">
        <f t="shared" si="9"/>
        <v>43324</v>
      </c>
      <c r="E283" s="35" t="s">
        <v>1449</v>
      </c>
      <c r="F283" s="2">
        <v>0.78611111111111109</v>
      </c>
      <c r="G283" s="3" t="s">
        <v>45</v>
      </c>
      <c r="H283" s="3" t="s">
        <v>40</v>
      </c>
      <c r="I283" s="25" t="str">
        <f>VLOOKUP(H283,Tabla5[#All],4,FALSE)</f>
        <v>-31,334500143441, -64,2460773260564</v>
      </c>
      <c r="J283" s="1">
        <v>26505</v>
      </c>
      <c r="K283" s="7">
        <f>INT((crimenes_cordoba_ampliado[[#This Row],[Fecha]]-crimenes_cordoba_ampliado[[#This Row],[Fecha Nac. Delincuente]])/365)</f>
        <v>46</v>
      </c>
      <c r="L283" s="7" t="str">
        <f>_xlfn.XLOOKUP(crimenes_cordoba_ampliado[[#This Row],[EDAD DELINCUENTE]],'Rango etareo'!$A$10:$A$25,'Rango etareo'!$B$10:$B$25,,-1)</f>
        <v>46 - 55</v>
      </c>
      <c r="M283" s="3" t="s">
        <v>22</v>
      </c>
      <c r="N283" s="3" t="str">
        <f>IF(crimenes_cordoba_ampliado[[#This Row],[Género Delincuente]]="Femenino","🚺","🚹")</f>
        <v>🚹</v>
      </c>
      <c r="O283">
        <v>1</v>
      </c>
      <c r="P283" s="1">
        <v>40996</v>
      </c>
      <c r="Q283" s="7">
        <f>INT((crimenes_cordoba_ampliado[[#This Row],[Fecha]]-crimenes_cordoba_ampliado[[#This Row],[Fecha Nac. Víctima]])/365)</f>
        <v>6</v>
      </c>
      <c r="R283" s="7" t="str">
        <f>_xlfn.XLOOKUP(crimenes_cordoba_ampliado[[#This Row],[EDAD VICTIMA]],'Rango etareo'!$A$2:$A$25,'Rango etareo'!$B$2:$B$25,,-1)</f>
        <v>&lt;=17</v>
      </c>
      <c r="S283" s="3" t="s">
        <v>22</v>
      </c>
      <c r="T283" s="3" t="str">
        <f>IF(crimenes_cordoba_ampliado[[#This Row],[Género Víctima]]="Masculino","🚹","🚺")</f>
        <v>🚹</v>
      </c>
      <c r="U283">
        <v>3</v>
      </c>
      <c r="V283" s="3" t="s">
        <v>23</v>
      </c>
      <c r="W283" s="3" t="s">
        <v>24</v>
      </c>
      <c r="X283" s="3" t="s">
        <v>24</v>
      </c>
      <c r="Y283" s="3" t="s">
        <v>46</v>
      </c>
      <c r="Z283" s="3" t="s">
        <v>25</v>
      </c>
      <c r="AA283" s="3" t="s">
        <v>25</v>
      </c>
      <c r="AB283" s="3" t="str">
        <f>IF(crimenes_cordoba_ampliado[[#This Row],[Hubo Arresto]]="Sí", "Resuelto", "Pendiente")</f>
        <v>Resuelto</v>
      </c>
      <c r="AC283" s="3" t="s">
        <v>190</v>
      </c>
      <c r="AD283" s="3"/>
    </row>
    <row r="284" spans="1:30" x14ac:dyDescent="0.25">
      <c r="A284">
        <v>797</v>
      </c>
      <c r="B284" s="1">
        <v>43140</v>
      </c>
      <c r="C284" s="33">
        <f t="shared" si="8"/>
        <v>43140</v>
      </c>
      <c r="D284" s="34">
        <f t="shared" si="9"/>
        <v>43140</v>
      </c>
      <c r="E284" s="35" t="s">
        <v>1455</v>
      </c>
      <c r="F284" s="2">
        <v>0.99583333333333335</v>
      </c>
      <c r="G284" s="3" t="s">
        <v>48</v>
      </c>
      <c r="H284" s="3" t="s">
        <v>40</v>
      </c>
      <c r="I284" s="25" t="str">
        <f>VLOOKUP(H284,Tabla5[#All],4,FALSE)</f>
        <v>-31,334500143441, -64,2460773260564</v>
      </c>
      <c r="J284" s="1">
        <v>24546</v>
      </c>
      <c r="K284" s="7">
        <f>INT((crimenes_cordoba_ampliado[[#This Row],[Fecha]]-crimenes_cordoba_ampliado[[#This Row],[Fecha Nac. Delincuente]])/365)</f>
        <v>50</v>
      </c>
      <c r="L284" s="7" t="str">
        <f>_xlfn.XLOOKUP(crimenes_cordoba_ampliado[[#This Row],[EDAD DELINCUENTE]],'Rango etareo'!$A$10:$A$25,'Rango etareo'!$B$10:$B$25,,-1)</f>
        <v>46 - 55</v>
      </c>
      <c r="M284" s="3" t="s">
        <v>22</v>
      </c>
      <c r="N284" s="3" t="str">
        <f>IF(crimenes_cordoba_ampliado[[#This Row],[Género Delincuente]]="Femenino","🚺","🚹")</f>
        <v>🚹</v>
      </c>
      <c r="O284">
        <v>4</v>
      </c>
      <c r="P284" s="1">
        <v>19079</v>
      </c>
      <c r="Q284" s="7">
        <f>INT((crimenes_cordoba_ampliado[[#This Row],[Fecha]]-crimenes_cordoba_ampliado[[#This Row],[Fecha Nac. Víctima]])/365)</f>
        <v>65</v>
      </c>
      <c r="R284" s="7" t="str">
        <f>_xlfn.XLOOKUP(crimenes_cordoba_ampliado[[#This Row],[EDAD VICTIMA]],'Rango etareo'!$A$2:$A$25,'Rango etareo'!$B$2:$B$25,,-1)</f>
        <v>&gt;65</v>
      </c>
      <c r="S284" s="3" t="s">
        <v>21</v>
      </c>
      <c r="T284" s="3" t="str">
        <f>IF(crimenes_cordoba_ampliado[[#This Row],[Género Víctima]]="Masculino","🚹","🚺")</f>
        <v>🚺</v>
      </c>
      <c r="U284">
        <v>2</v>
      </c>
      <c r="V284" s="3" t="s">
        <v>25</v>
      </c>
      <c r="W284" s="3" t="s">
        <v>24</v>
      </c>
      <c r="X284" s="3" t="s">
        <v>24</v>
      </c>
      <c r="Y284" s="3" t="s">
        <v>33</v>
      </c>
      <c r="Z284" s="3" t="s">
        <v>23</v>
      </c>
      <c r="AA284" s="3" t="s">
        <v>25</v>
      </c>
      <c r="AB284" s="3" t="str">
        <f>IF(crimenes_cordoba_ampliado[[#This Row],[Hubo Arresto]]="Sí", "Resuelto", "Pendiente")</f>
        <v>Pendiente</v>
      </c>
      <c r="AC284" s="3" t="s">
        <v>24</v>
      </c>
      <c r="AD284" s="3"/>
    </row>
    <row r="285" spans="1:30" x14ac:dyDescent="0.25">
      <c r="A285">
        <v>850</v>
      </c>
      <c r="B285" s="1">
        <v>43140</v>
      </c>
      <c r="C285" s="33">
        <f t="shared" si="8"/>
        <v>43140</v>
      </c>
      <c r="D285" s="34">
        <f t="shared" si="9"/>
        <v>43140</v>
      </c>
      <c r="E285" s="35" t="s">
        <v>1455</v>
      </c>
      <c r="F285" s="2">
        <v>0.92638888888888893</v>
      </c>
      <c r="G285" s="3" t="s">
        <v>79</v>
      </c>
      <c r="H285" s="3" t="s">
        <v>28</v>
      </c>
      <c r="I285" s="25" t="str">
        <f>VLOOKUP(H285,Tabla5[#All],4,FALSE)</f>
        <v>-31,4129883640337, -64,1681120522587</v>
      </c>
      <c r="J285" s="1">
        <v>31549</v>
      </c>
      <c r="K285" s="7">
        <f>INT((crimenes_cordoba_ampliado[[#This Row],[Fecha]]-crimenes_cordoba_ampliado[[#This Row],[Fecha Nac. Delincuente]])/365)</f>
        <v>31</v>
      </c>
      <c r="L285" s="7" t="str">
        <f>_xlfn.XLOOKUP(crimenes_cordoba_ampliado[[#This Row],[EDAD DELINCUENTE]],'Rango etareo'!$A$10:$A$25,'Rango etareo'!$B$10:$B$25,,-1)</f>
        <v>26 - 35</v>
      </c>
      <c r="M285" s="3" t="s">
        <v>22</v>
      </c>
      <c r="N285" s="3" t="str">
        <f>IF(crimenes_cordoba_ampliado[[#This Row],[Género Delincuente]]="Femenino","🚺","🚹")</f>
        <v>🚹</v>
      </c>
      <c r="O285">
        <v>4</v>
      </c>
      <c r="P285" s="1">
        <v>20018</v>
      </c>
      <c r="Q285" s="7">
        <f>INT((crimenes_cordoba_ampliado[[#This Row],[Fecha]]-crimenes_cordoba_ampliado[[#This Row],[Fecha Nac. Víctima]])/365)</f>
        <v>63</v>
      </c>
      <c r="R285" s="7" t="str">
        <f>_xlfn.XLOOKUP(crimenes_cordoba_ampliado[[#This Row],[EDAD VICTIMA]],'Rango etareo'!$A$2:$A$25,'Rango etareo'!$B$2:$B$25,,-1)</f>
        <v>56 - 65</v>
      </c>
      <c r="S285" s="3" t="s">
        <v>21</v>
      </c>
      <c r="T285" s="3" t="str">
        <f>IF(crimenes_cordoba_ampliado[[#This Row],[Género Víctima]]="Masculino","🚹","🚺")</f>
        <v>🚺</v>
      </c>
      <c r="U285">
        <v>1</v>
      </c>
      <c r="V285" s="3" t="s">
        <v>25</v>
      </c>
      <c r="W285" s="3" t="s">
        <v>24</v>
      </c>
      <c r="X285" s="3" t="s">
        <v>24</v>
      </c>
      <c r="Y285" s="3" t="s">
        <v>33</v>
      </c>
      <c r="Z285" s="3" t="s">
        <v>25</v>
      </c>
      <c r="AA285" s="3" t="s">
        <v>25</v>
      </c>
      <c r="AB285" s="3" t="str">
        <f>IF(crimenes_cordoba_ampliado[[#This Row],[Hubo Arresto]]="Sí", "Resuelto", "Pendiente")</f>
        <v>Pendiente</v>
      </c>
      <c r="AC285" s="3" t="s">
        <v>24</v>
      </c>
      <c r="AD285" s="3"/>
    </row>
    <row r="286" spans="1:30" x14ac:dyDescent="0.25">
      <c r="A286">
        <v>273</v>
      </c>
      <c r="B286" s="1">
        <v>44253</v>
      </c>
      <c r="C286" s="33">
        <f t="shared" si="8"/>
        <v>44253</v>
      </c>
      <c r="D286" s="34">
        <f t="shared" si="9"/>
        <v>44253</v>
      </c>
      <c r="E286" s="35" t="s">
        <v>1455</v>
      </c>
      <c r="F286" s="2">
        <v>0.97222222222222221</v>
      </c>
      <c r="G286" s="3" t="s">
        <v>79</v>
      </c>
      <c r="H286" s="3" t="s">
        <v>55</v>
      </c>
      <c r="I286" s="25" t="str">
        <f>VLOOKUP(H286,Tabla5[#All],4,FALSE)</f>
        <v>-31,4015892433235, -64,160442876477</v>
      </c>
      <c r="J286" s="1">
        <v>31026</v>
      </c>
      <c r="K286" s="7">
        <f>INT((crimenes_cordoba_ampliado[[#This Row],[Fecha]]-crimenes_cordoba_ampliado[[#This Row],[Fecha Nac. Delincuente]])/365)</f>
        <v>36</v>
      </c>
      <c r="L286" s="7" t="str">
        <f>_xlfn.XLOOKUP(crimenes_cordoba_ampliado[[#This Row],[EDAD DELINCUENTE]],'Rango etareo'!$A$10:$A$25,'Rango etareo'!$B$10:$B$25,,-1)</f>
        <v>36 - 45</v>
      </c>
      <c r="M286" s="3" t="s">
        <v>21</v>
      </c>
      <c r="N286" s="3" t="str">
        <f>IF(crimenes_cordoba_ampliado[[#This Row],[Género Delincuente]]="Femenino","🚺","🚹")</f>
        <v>🚺</v>
      </c>
      <c r="O286">
        <v>3</v>
      </c>
      <c r="P286" s="1">
        <v>39566</v>
      </c>
      <c r="Q286" s="7">
        <f>INT((crimenes_cordoba_ampliado[[#This Row],[Fecha]]-crimenes_cordoba_ampliado[[#This Row],[Fecha Nac. Víctima]])/365)</f>
        <v>12</v>
      </c>
      <c r="R286" s="7" t="str">
        <f>_xlfn.XLOOKUP(crimenes_cordoba_ampliado[[#This Row],[EDAD VICTIMA]],'Rango etareo'!$A$2:$A$25,'Rango etareo'!$B$2:$B$25,,-1)</f>
        <v>&lt;=17</v>
      </c>
      <c r="S286" s="3" t="s">
        <v>22</v>
      </c>
      <c r="T286" s="3" t="str">
        <f>IF(crimenes_cordoba_ampliado[[#This Row],[Género Víctima]]="Masculino","🚹","🚺")</f>
        <v>🚹</v>
      </c>
      <c r="U286">
        <v>1</v>
      </c>
      <c r="V286" s="3" t="s">
        <v>23</v>
      </c>
      <c r="W286" s="3" t="s">
        <v>36</v>
      </c>
      <c r="X286" s="3" t="s">
        <v>50</v>
      </c>
      <c r="Y286" s="3" t="s">
        <v>24</v>
      </c>
      <c r="Z286" s="3" t="s">
        <v>23</v>
      </c>
      <c r="AA286" s="3" t="s">
        <v>25</v>
      </c>
      <c r="AB286" s="3" t="str">
        <f>IF(crimenes_cordoba_ampliado[[#This Row],[Hubo Arresto]]="Sí", "Resuelto", "Pendiente")</f>
        <v>Resuelto</v>
      </c>
      <c r="AC286" s="3" t="s">
        <v>139</v>
      </c>
      <c r="AD286" s="3"/>
    </row>
    <row r="287" spans="1:30" x14ac:dyDescent="0.25">
      <c r="A287">
        <v>274</v>
      </c>
      <c r="B287" s="1">
        <v>43613</v>
      </c>
      <c r="C287" s="33">
        <f t="shared" si="8"/>
        <v>43613</v>
      </c>
      <c r="D287" s="34">
        <f t="shared" si="9"/>
        <v>43613</v>
      </c>
      <c r="E287" s="35" t="s">
        <v>1453</v>
      </c>
      <c r="F287" s="2">
        <v>0.37430555555555556</v>
      </c>
      <c r="G287" s="3" t="s">
        <v>81</v>
      </c>
      <c r="H287" s="3" t="s">
        <v>20</v>
      </c>
      <c r="I287" s="25" t="str">
        <f>VLOOKUP(H287,Tabla5[#All],4,FALSE)</f>
        <v>-31,4800162965848, -64,2094200976892</v>
      </c>
      <c r="J287" s="1">
        <v>24315</v>
      </c>
      <c r="K287" s="7">
        <f>INT((crimenes_cordoba_ampliado[[#This Row],[Fecha]]-crimenes_cordoba_ampliado[[#This Row],[Fecha Nac. Delincuente]])/365)</f>
        <v>52</v>
      </c>
      <c r="L287" s="7" t="str">
        <f>_xlfn.XLOOKUP(crimenes_cordoba_ampliado[[#This Row],[EDAD DELINCUENTE]],'Rango etareo'!$A$10:$A$25,'Rango etareo'!$B$10:$B$25,,-1)</f>
        <v>46 - 55</v>
      </c>
      <c r="M287" s="3" t="s">
        <v>21</v>
      </c>
      <c r="N287" s="3" t="str">
        <f>IF(crimenes_cordoba_ampliado[[#This Row],[Género Delincuente]]="Femenino","🚺","🚹")</f>
        <v>🚺</v>
      </c>
      <c r="O287">
        <v>1</v>
      </c>
      <c r="P287" s="1">
        <v>24941</v>
      </c>
      <c r="Q287" s="7">
        <f>INT((crimenes_cordoba_ampliado[[#This Row],[Fecha]]-crimenes_cordoba_ampliado[[#This Row],[Fecha Nac. Víctima]])/365)</f>
        <v>51</v>
      </c>
      <c r="R287" s="7" t="str">
        <f>_xlfn.XLOOKUP(crimenes_cordoba_ampliado[[#This Row],[EDAD VICTIMA]],'Rango etareo'!$A$2:$A$25,'Rango etareo'!$B$2:$B$25,,-1)</f>
        <v>46 - 55</v>
      </c>
      <c r="S287" s="3" t="s">
        <v>22</v>
      </c>
      <c r="T287" s="3" t="str">
        <f>IF(crimenes_cordoba_ampliado[[#This Row],[Género Víctima]]="Masculino","🚹","🚺")</f>
        <v>🚹</v>
      </c>
      <c r="U287">
        <v>3</v>
      </c>
      <c r="V287" s="3" t="s">
        <v>23</v>
      </c>
      <c r="W287" s="3" t="s">
        <v>24</v>
      </c>
      <c r="X287" s="3" t="s">
        <v>24</v>
      </c>
      <c r="Y287" s="3" t="s">
        <v>24</v>
      </c>
      <c r="Z287" s="3" t="s">
        <v>25</v>
      </c>
      <c r="AA287" s="3" t="s">
        <v>25</v>
      </c>
      <c r="AB287" s="3" t="str">
        <f>IF(crimenes_cordoba_ampliado[[#This Row],[Hubo Arresto]]="Sí", "Resuelto", "Pendiente")</f>
        <v>Resuelto</v>
      </c>
      <c r="AC287" s="3" t="s">
        <v>191</v>
      </c>
      <c r="AD287" s="3"/>
    </row>
    <row r="288" spans="1:30" x14ac:dyDescent="0.25">
      <c r="A288">
        <v>275</v>
      </c>
      <c r="B288" s="1">
        <v>45312</v>
      </c>
      <c r="C288" s="33">
        <f t="shared" si="8"/>
        <v>45312</v>
      </c>
      <c r="D288" s="34">
        <f t="shared" si="9"/>
        <v>45312</v>
      </c>
      <c r="E288" s="35" t="s">
        <v>1449</v>
      </c>
      <c r="F288" s="2">
        <v>0.67291666666666672</v>
      </c>
      <c r="G288" s="3" t="s">
        <v>35</v>
      </c>
      <c r="H288" s="3" t="s">
        <v>49</v>
      </c>
      <c r="I288" s="25" t="str">
        <f>VLOOKUP(H288,Tabla5[#All],4,FALSE)</f>
        <v>-31,4506257494184, -64,1733054344705</v>
      </c>
      <c r="J288" s="1">
        <v>29053</v>
      </c>
      <c r="K288" s="7">
        <f>INT((crimenes_cordoba_ampliado[[#This Row],[Fecha]]-crimenes_cordoba_ampliado[[#This Row],[Fecha Nac. Delincuente]])/365)</f>
        <v>44</v>
      </c>
      <c r="L288" s="7" t="str">
        <f>_xlfn.XLOOKUP(crimenes_cordoba_ampliado[[#This Row],[EDAD DELINCUENTE]],'Rango etareo'!$A$10:$A$25,'Rango etareo'!$B$10:$B$25,,-1)</f>
        <v>36 - 45</v>
      </c>
      <c r="M288" s="3" t="s">
        <v>22</v>
      </c>
      <c r="N288" s="3" t="str">
        <f>IF(crimenes_cordoba_ampliado[[#This Row],[Género Delincuente]]="Femenino","🚺","🚹")</f>
        <v>🚹</v>
      </c>
      <c r="O288">
        <v>2</v>
      </c>
      <c r="P288" s="1">
        <v>27405</v>
      </c>
      <c r="Q288" s="7">
        <f>INT((crimenes_cordoba_ampliado[[#This Row],[Fecha]]-crimenes_cordoba_ampliado[[#This Row],[Fecha Nac. Víctima]])/365)</f>
        <v>49</v>
      </c>
      <c r="R288" s="7" t="str">
        <f>_xlfn.XLOOKUP(crimenes_cordoba_ampliado[[#This Row],[EDAD VICTIMA]],'Rango etareo'!$A$2:$A$25,'Rango etareo'!$B$2:$B$25,,-1)</f>
        <v>46 - 55</v>
      </c>
      <c r="S288" s="3" t="s">
        <v>21</v>
      </c>
      <c r="T288" s="3" t="str">
        <f>IF(crimenes_cordoba_ampliado[[#This Row],[Género Víctima]]="Masculino","🚹","🚺")</f>
        <v>🚺</v>
      </c>
      <c r="U288">
        <v>1</v>
      </c>
      <c r="V288" s="3" t="s">
        <v>23</v>
      </c>
      <c r="W288" s="3" t="s">
        <v>24</v>
      </c>
      <c r="X288" s="3" t="s">
        <v>24</v>
      </c>
      <c r="Y288" s="3" t="s">
        <v>89</v>
      </c>
      <c r="Z288" s="3" t="s">
        <v>25</v>
      </c>
      <c r="AA288" s="3" t="s">
        <v>23</v>
      </c>
      <c r="AB288" s="3" t="str">
        <f>IF(crimenes_cordoba_ampliado[[#This Row],[Hubo Arresto]]="Sí", "Resuelto", "Pendiente")</f>
        <v>Resuelto</v>
      </c>
      <c r="AC288" s="3" t="s">
        <v>123</v>
      </c>
      <c r="AD288" s="3"/>
    </row>
    <row r="289" spans="1:30" x14ac:dyDescent="0.25">
      <c r="A289">
        <v>496</v>
      </c>
      <c r="B289" s="1">
        <v>43158</v>
      </c>
      <c r="C289" s="33">
        <f t="shared" si="8"/>
        <v>43158</v>
      </c>
      <c r="D289" s="34">
        <f t="shared" si="9"/>
        <v>43158</v>
      </c>
      <c r="E289" s="35" t="s">
        <v>1453</v>
      </c>
      <c r="F289" s="2">
        <v>0.96250000000000002</v>
      </c>
      <c r="G289" s="3" t="s">
        <v>31</v>
      </c>
      <c r="H289" s="3" t="s">
        <v>65</v>
      </c>
      <c r="I289" s="25" t="str">
        <f>VLOOKUP(H289,Tabla5[#All],4,FALSE)</f>
        <v>-31,4285567311661, -64,1853198281007</v>
      </c>
      <c r="J289" s="1">
        <v>26342</v>
      </c>
      <c r="K289" s="7">
        <f>INT((crimenes_cordoba_ampliado[[#This Row],[Fecha]]-crimenes_cordoba_ampliado[[#This Row],[Fecha Nac. Delincuente]])/365)</f>
        <v>46</v>
      </c>
      <c r="L289" s="7" t="str">
        <f>_xlfn.XLOOKUP(crimenes_cordoba_ampliado[[#This Row],[EDAD DELINCUENTE]],'Rango etareo'!$A$10:$A$25,'Rango etareo'!$B$10:$B$25,,-1)</f>
        <v>46 - 55</v>
      </c>
      <c r="M289" s="3" t="s">
        <v>22</v>
      </c>
      <c r="N289" s="3" t="str">
        <f>IF(crimenes_cordoba_ampliado[[#This Row],[Género Delincuente]]="Femenino","🚺","🚹")</f>
        <v>🚹</v>
      </c>
      <c r="O289">
        <v>3</v>
      </c>
      <c r="P289" s="1">
        <v>41138</v>
      </c>
      <c r="Q289" s="7">
        <f>INT((crimenes_cordoba_ampliado[[#This Row],[Fecha]]-crimenes_cordoba_ampliado[[#This Row],[Fecha Nac. Víctima]])/365)</f>
        <v>5</v>
      </c>
      <c r="R289" s="7" t="str">
        <f>_xlfn.XLOOKUP(crimenes_cordoba_ampliado[[#This Row],[EDAD VICTIMA]],'Rango etareo'!$A$2:$A$25,'Rango etareo'!$B$2:$B$25,,-1)</f>
        <v>&lt;=17</v>
      </c>
      <c r="S289" s="3" t="s">
        <v>21</v>
      </c>
      <c r="T289" s="3" t="str">
        <f>IF(crimenes_cordoba_ampliado[[#This Row],[Género Víctima]]="Masculino","🚹","🚺")</f>
        <v>🚺</v>
      </c>
      <c r="U289">
        <v>3</v>
      </c>
      <c r="V289" s="3" t="s">
        <v>25</v>
      </c>
      <c r="W289" s="3" t="s">
        <v>24</v>
      </c>
      <c r="X289" s="3" t="s">
        <v>67</v>
      </c>
      <c r="Y289" s="3" t="s">
        <v>24</v>
      </c>
      <c r="Z289" s="3" t="s">
        <v>25</v>
      </c>
      <c r="AA289" s="3" t="s">
        <v>25</v>
      </c>
      <c r="AB289" s="3" t="str">
        <f>IF(crimenes_cordoba_ampliado[[#This Row],[Hubo Arresto]]="Sí", "Resuelto", "Pendiente")</f>
        <v>Pendiente</v>
      </c>
      <c r="AC289" s="3" t="s">
        <v>24</v>
      </c>
      <c r="AD289" s="3"/>
    </row>
    <row r="290" spans="1:30" x14ac:dyDescent="0.25">
      <c r="A290">
        <v>278</v>
      </c>
      <c r="B290" s="1">
        <v>45390</v>
      </c>
      <c r="C290" s="33">
        <f t="shared" si="8"/>
        <v>45390</v>
      </c>
      <c r="D290" s="34">
        <f t="shared" si="9"/>
        <v>45390</v>
      </c>
      <c r="E290" s="35" t="s">
        <v>1452</v>
      </c>
      <c r="F290" s="2">
        <v>0.70486111111111116</v>
      </c>
      <c r="G290" s="3" t="s">
        <v>35</v>
      </c>
      <c r="H290" s="3" t="s">
        <v>70</v>
      </c>
      <c r="I290" s="25" t="str">
        <f>VLOOKUP(H290,Tabla5[#All],4,FALSE)</f>
        <v>-31,3759272890294, -64,2284587792478</v>
      </c>
      <c r="J290" s="1">
        <v>20977</v>
      </c>
      <c r="K290" s="7">
        <f>INT((crimenes_cordoba_ampliado[[#This Row],[Fecha]]-crimenes_cordoba_ampliado[[#This Row],[Fecha Nac. Delincuente]])/365)</f>
        <v>66</v>
      </c>
      <c r="L290" s="7" t="str">
        <f>_xlfn.XLOOKUP(crimenes_cordoba_ampliado[[#This Row],[EDAD DELINCUENTE]],'Rango etareo'!$A$10:$A$25,'Rango etareo'!$B$10:$B$25,,-1)</f>
        <v>&gt;65</v>
      </c>
      <c r="M290" s="3" t="s">
        <v>22</v>
      </c>
      <c r="N290" s="3" t="str">
        <f>IF(crimenes_cordoba_ampliado[[#This Row],[Género Delincuente]]="Femenino","🚺","🚹")</f>
        <v>🚹</v>
      </c>
      <c r="O290">
        <v>2</v>
      </c>
      <c r="P290" s="1">
        <v>17436</v>
      </c>
      <c r="Q290" s="7">
        <f>INT((crimenes_cordoba_ampliado[[#This Row],[Fecha]]-crimenes_cordoba_ampliado[[#This Row],[Fecha Nac. Víctima]])/365)</f>
        <v>76</v>
      </c>
      <c r="R290" s="7" t="str">
        <f>_xlfn.XLOOKUP(crimenes_cordoba_ampliado[[#This Row],[EDAD VICTIMA]],'Rango etareo'!$A$2:$A$25,'Rango etareo'!$B$2:$B$25,,-1)</f>
        <v>&gt;65</v>
      </c>
      <c r="S290" s="3" t="s">
        <v>21</v>
      </c>
      <c r="T290" s="3" t="str">
        <f>IF(crimenes_cordoba_ampliado[[#This Row],[Género Víctima]]="Masculino","🚹","🚺")</f>
        <v>🚺</v>
      </c>
      <c r="U290">
        <v>1</v>
      </c>
      <c r="V290" s="3" t="s">
        <v>23</v>
      </c>
      <c r="W290" s="3" t="s">
        <v>24</v>
      </c>
      <c r="X290" s="3" t="s">
        <v>24</v>
      </c>
      <c r="Y290" s="3" t="s">
        <v>89</v>
      </c>
      <c r="Z290" s="3" t="s">
        <v>25</v>
      </c>
      <c r="AA290" s="3" t="s">
        <v>23</v>
      </c>
      <c r="AB290" s="3" t="str">
        <f>IF(crimenes_cordoba_ampliado[[#This Row],[Hubo Arresto]]="Sí", "Resuelto", "Pendiente")</f>
        <v>Resuelto</v>
      </c>
      <c r="AC290" s="3" t="s">
        <v>192</v>
      </c>
      <c r="AD290" s="3"/>
    </row>
    <row r="291" spans="1:30" x14ac:dyDescent="0.25">
      <c r="A291">
        <v>706</v>
      </c>
      <c r="B291" s="1">
        <v>43164</v>
      </c>
      <c r="C291" s="33">
        <f t="shared" si="8"/>
        <v>43164</v>
      </c>
      <c r="D291" s="34">
        <f t="shared" si="9"/>
        <v>43164</v>
      </c>
      <c r="E291" s="35" t="s">
        <v>1452</v>
      </c>
      <c r="F291" s="2">
        <v>0.71805555555555556</v>
      </c>
      <c r="G291" s="3" t="s">
        <v>42</v>
      </c>
      <c r="H291" s="3" t="s">
        <v>60</v>
      </c>
      <c r="I291" s="25" t="str">
        <f>VLOOKUP(H291,Tabla5[#All],4,FALSE)</f>
        <v>-31,4076397196409, -64,2020170430678</v>
      </c>
      <c r="J291" s="1">
        <v>25602</v>
      </c>
      <c r="K291" s="7">
        <f>INT((crimenes_cordoba_ampliado[[#This Row],[Fecha]]-crimenes_cordoba_ampliado[[#This Row],[Fecha Nac. Delincuente]])/365)</f>
        <v>48</v>
      </c>
      <c r="L291" s="7" t="str">
        <f>_xlfn.XLOOKUP(crimenes_cordoba_ampliado[[#This Row],[EDAD DELINCUENTE]],'Rango etareo'!$A$10:$A$25,'Rango etareo'!$B$10:$B$25,,-1)</f>
        <v>46 - 55</v>
      </c>
      <c r="M291" s="3" t="s">
        <v>21</v>
      </c>
      <c r="N291" s="3" t="str">
        <f>IF(crimenes_cordoba_ampliado[[#This Row],[Género Delincuente]]="Femenino","🚺","🚹")</f>
        <v>🚺</v>
      </c>
      <c r="O291">
        <v>3</v>
      </c>
      <c r="P291" s="1">
        <v>24025</v>
      </c>
      <c r="Q291" s="7">
        <f>INT((crimenes_cordoba_ampliado[[#This Row],[Fecha]]-crimenes_cordoba_ampliado[[#This Row],[Fecha Nac. Víctima]])/365)</f>
        <v>52</v>
      </c>
      <c r="R291" s="7" t="str">
        <f>_xlfn.XLOOKUP(crimenes_cordoba_ampliado[[#This Row],[EDAD VICTIMA]],'Rango etareo'!$A$2:$A$25,'Rango etareo'!$B$2:$B$25,,-1)</f>
        <v>46 - 55</v>
      </c>
      <c r="S291" s="3" t="s">
        <v>22</v>
      </c>
      <c r="T291" s="3" t="str">
        <f>IF(crimenes_cordoba_ampliado[[#This Row],[Género Víctima]]="Masculino","🚹","🚺")</f>
        <v>🚹</v>
      </c>
      <c r="U291">
        <v>3</v>
      </c>
      <c r="V291" s="3" t="s">
        <v>25</v>
      </c>
      <c r="W291" s="3" t="s">
        <v>24</v>
      </c>
      <c r="X291" s="3" t="s">
        <v>24</v>
      </c>
      <c r="Y291" s="3" t="s">
        <v>24</v>
      </c>
      <c r="Z291" s="3" t="s">
        <v>25</v>
      </c>
      <c r="AA291" s="3" t="s">
        <v>23</v>
      </c>
      <c r="AB291" s="3" t="str">
        <f>IF(crimenes_cordoba_ampliado[[#This Row],[Hubo Arresto]]="Sí", "Resuelto", "Pendiente")</f>
        <v>Pendiente</v>
      </c>
      <c r="AC291" s="3" t="s">
        <v>24</v>
      </c>
      <c r="AD291" s="3"/>
    </row>
    <row r="292" spans="1:30" x14ac:dyDescent="0.25">
      <c r="A292">
        <v>185</v>
      </c>
      <c r="B292" s="1">
        <v>43167</v>
      </c>
      <c r="C292" s="33">
        <f t="shared" si="8"/>
        <v>43167</v>
      </c>
      <c r="D292" s="34">
        <f t="shared" si="9"/>
        <v>43167</v>
      </c>
      <c r="E292" s="35" t="s">
        <v>1454</v>
      </c>
      <c r="F292" s="2">
        <v>0.75902777777777775</v>
      </c>
      <c r="G292" s="3" t="s">
        <v>19</v>
      </c>
      <c r="H292" s="3" t="s">
        <v>28</v>
      </c>
      <c r="I292" s="25" t="str">
        <f>VLOOKUP(H292,Tabla5[#All],4,FALSE)</f>
        <v>-31,4129883640337, -64,1681120522587</v>
      </c>
      <c r="J292" s="1">
        <v>33089</v>
      </c>
      <c r="K292" s="7">
        <f>INT((crimenes_cordoba_ampliado[[#This Row],[Fecha]]-crimenes_cordoba_ampliado[[#This Row],[Fecha Nac. Delincuente]])/365)</f>
        <v>27</v>
      </c>
      <c r="L292" s="7" t="str">
        <f>_xlfn.XLOOKUP(crimenes_cordoba_ampliado[[#This Row],[EDAD DELINCUENTE]],'Rango etareo'!$A$10:$A$25,'Rango etareo'!$B$10:$B$25,,-1)</f>
        <v>26 - 35</v>
      </c>
      <c r="M292" s="3" t="s">
        <v>21</v>
      </c>
      <c r="N292" s="3" t="str">
        <f>IF(crimenes_cordoba_ampliado[[#This Row],[Género Delincuente]]="Femenino","🚺","🚹")</f>
        <v>🚺</v>
      </c>
      <c r="O292">
        <v>3</v>
      </c>
      <c r="P292" s="1">
        <v>28386</v>
      </c>
      <c r="Q292" s="7">
        <f>INT((crimenes_cordoba_ampliado[[#This Row],[Fecha]]-crimenes_cordoba_ampliado[[#This Row],[Fecha Nac. Víctima]])/365)</f>
        <v>40</v>
      </c>
      <c r="R292" s="7" t="str">
        <f>_xlfn.XLOOKUP(crimenes_cordoba_ampliado[[#This Row],[EDAD VICTIMA]],'Rango etareo'!$A$2:$A$25,'Rango etareo'!$B$2:$B$25,,-1)</f>
        <v>36 - 45</v>
      </c>
      <c r="S292" s="3" t="s">
        <v>22</v>
      </c>
      <c r="T292" s="3" t="str">
        <f>IF(crimenes_cordoba_ampliado[[#This Row],[Género Víctima]]="Masculino","🚹","🚺")</f>
        <v>🚹</v>
      </c>
      <c r="U292">
        <v>1</v>
      </c>
      <c r="V292" s="3" t="s">
        <v>25</v>
      </c>
      <c r="W292" s="3" t="s">
        <v>24</v>
      </c>
      <c r="X292" s="3" t="s">
        <v>24</v>
      </c>
      <c r="Y292" s="3" t="s">
        <v>113</v>
      </c>
      <c r="Z292" s="3" t="s">
        <v>25</v>
      </c>
      <c r="AA292" s="3" t="s">
        <v>23</v>
      </c>
      <c r="AB292" s="3" t="str">
        <f>IF(crimenes_cordoba_ampliado[[#This Row],[Hubo Arresto]]="Sí", "Resuelto", "Pendiente")</f>
        <v>Pendiente</v>
      </c>
      <c r="AC292" s="3" t="s">
        <v>24</v>
      </c>
      <c r="AD292" s="3"/>
    </row>
    <row r="293" spans="1:30" x14ac:dyDescent="0.25">
      <c r="A293">
        <v>451</v>
      </c>
      <c r="B293" s="1">
        <v>43175</v>
      </c>
      <c r="C293" s="33">
        <f t="shared" si="8"/>
        <v>43175</v>
      </c>
      <c r="D293" s="34">
        <f t="shared" si="9"/>
        <v>43175</v>
      </c>
      <c r="E293" s="35" t="s">
        <v>1455</v>
      </c>
      <c r="F293" s="2">
        <v>0.82499999999999996</v>
      </c>
      <c r="G293" s="3" t="s">
        <v>35</v>
      </c>
      <c r="H293" s="3" t="s">
        <v>40</v>
      </c>
      <c r="I293" s="25" t="str">
        <f>VLOOKUP(H293,Tabla5[#All],4,FALSE)</f>
        <v>-31,334500143441, -64,2460773260564</v>
      </c>
      <c r="J293" s="1">
        <v>37887</v>
      </c>
      <c r="K293" s="7">
        <f>INT((crimenes_cordoba_ampliado[[#This Row],[Fecha]]-crimenes_cordoba_ampliado[[#This Row],[Fecha Nac. Delincuente]])/365)</f>
        <v>14</v>
      </c>
      <c r="L293" s="7" t="str">
        <f>_xlfn.XLOOKUP(crimenes_cordoba_ampliado[[#This Row],[EDAD DELINCUENTE]],'Rango etareo'!$A$10:$A$25,'Rango etareo'!$B$10:$B$25,,-1)</f>
        <v>&lt;=17</v>
      </c>
      <c r="M293" s="3" t="s">
        <v>22</v>
      </c>
      <c r="N293" s="3" t="str">
        <f>IF(crimenes_cordoba_ampliado[[#This Row],[Género Delincuente]]="Femenino","🚺","🚹")</f>
        <v>🚹</v>
      </c>
      <c r="O293">
        <v>3</v>
      </c>
      <c r="P293" s="1">
        <v>28531</v>
      </c>
      <c r="Q293" s="7">
        <f>INT((crimenes_cordoba_ampliado[[#This Row],[Fecha]]-crimenes_cordoba_ampliado[[#This Row],[Fecha Nac. Víctima]])/365)</f>
        <v>40</v>
      </c>
      <c r="R293" s="7" t="str">
        <f>_xlfn.XLOOKUP(crimenes_cordoba_ampliado[[#This Row],[EDAD VICTIMA]],'Rango etareo'!$A$2:$A$25,'Rango etareo'!$B$2:$B$25,,-1)</f>
        <v>36 - 45</v>
      </c>
      <c r="S293" s="3" t="s">
        <v>22</v>
      </c>
      <c r="T293" s="3" t="str">
        <f>IF(crimenes_cordoba_ampliado[[#This Row],[Género Víctima]]="Masculino","🚹","🚺")</f>
        <v>🚹</v>
      </c>
      <c r="U293">
        <v>2</v>
      </c>
      <c r="V293" s="3" t="s">
        <v>25</v>
      </c>
      <c r="W293" s="3" t="s">
        <v>24</v>
      </c>
      <c r="X293" s="3" t="s">
        <v>24</v>
      </c>
      <c r="Y293" s="3" t="s">
        <v>80</v>
      </c>
      <c r="Z293" s="3" t="s">
        <v>23</v>
      </c>
      <c r="AA293" s="3" t="s">
        <v>25</v>
      </c>
      <c r="AB293" s="3" t="str">
        <f>IF(crimenes_cordoba_ampliado[[#This Row],[Hubo Arresto]]="Sí", "Resuelto", "Pendiente")</f>
        <v>Pendiente</v>
      </c>
      <c r="AC293" s="3" t="s">
        <v>24</v>
      </c>
      <c r="AD293" s="3"/>
    </row>
    <row r="294" spans="1:30" x14ac:dyDescent="0.25">
      <c r="A294">
        <v>125</v>
      </c>
      <c r="B294" s="1">
        <v>43180</v>
      </c>
      <c r="C294" s="33">
        <f t="shared" si="8"/>
        <v>43180</v>
      </c>
      <c r="D294" s="34">
        <f t="shared" si="9"/>
        <v>43180</v>
      </c>
      <c r="E294" s="35" t="s">
        <v>1450</v>
      </c>
      <c r="F294" s="2">
        <v>0.92500000000000004</v>
      </c>
      <c r="G294" s="3" t="s">
        <v>51</v>
      </c>
      <c r="H294" s="3" t="s">
        <v>20</v>
      </c>
      <c r="I294" s="25" t="str">
        <f>VLOOKUP(H294,Tabla5[#All],4,FALSE)</f>
        <v>-31,4800162965848, -64,2094200976892</v>
      </c>
      <c r="J294" s="1">
        <v>28909</v>
      </c>
      <c r="K294" s="7">
        <f>INT((crimenes_cordoba_ampliado[[#This Row],[Fecha]]-crimenes_cordoba_ampliado[[#This Row],[Fecha Nac. Delincuente]])/365)</f>
        <v>39</v>
      </c>
      <c r="L294" s="7" t="str">
        <f>_xlfn.XLOOKUP(crimenes_cordoba_ampliado[[#This Row],[EDAD DELINCUENTE]],'Rango etareo'!$A$10:$A$25,'Rango etareo'!$B$10:$B$25,,-1)</f>
        <v>36 - 45</v>
      </c>
      <c r="M294" s="3" t="s">
        <v>22</v>
      </c>
      <c r="N294" s="3" t="str">
        <f>IF(crimenes_cordoba_ampliado[[#This Row],[Género Delincuente]]="Femenino","🚺","🚹")</f>
        <v>🚹</v>
      </c>
      <c r="O294">
        <v>5</v>
      </c>
      <c r="P294" s="1">
        <v>38699</v>
      </c>
      <c r="Q294" s="7">
        <f>INT((crimenes_cordoba_ampliado[[#This Row],[Fecha]]-crimenes_cordoba_ampliado[[#This Row],[Fecha Nac. Víctima]])/365)</f>
        <v>12</v>
      </c>
      <c r="R294" s="7" t="str">
        <f>_xlfn.XLOOKUP(crimenes_cordoba_ampliado[[#This Row],[EDAD VICTIMA]],'Rango etareo'!$A$2:$A$25,'Rango etareo'!$B$2:$B$25,,-1)</f>
        <v>&lt;=17</v>
      </c>
      <c r="S294" s="3" t="s">
        <v>21</v>
      </c>
      <c r="T294" s="3" t="str">
        <f>IF(crimenes_cordoba_ampliado[[#This Row],[Género Víctima]]="Masculino","🚹","🚺")</f>
        <v>🚺</v>
      </c>
      <c r="U294">
        <v>1</v>
      </c>
      <c r="V294" s="3" t="s">
        <v>25</v>
      </c>
      <c r="W294" s="3" t="s">
        <v>83</v>
      </c>
      <c r="X294" s="3" t="s">
        <v>29</v>
      </c>
      <c r="Y294" s="3" t="s">
        <v>24</v>
      </c>
      <c r="Z294" s="3" t="s">
        <v>23</v>
      </c>
      <c r="AA294" s="3" t="s">
        <v>25</v>
      </c>
      <c r="AB294" s="3" t="str">
        <f>IF(crimenes_cordoba_ampliado[[#This Row],[Hubo Arresto]]="Sí", "Resuelto", "Pendiente")</f>
        <v>Pendiente</v>
      </c>
      <c r="AC294" s="3" t="s">
        <v>24</v>
      </c>
      <c r="AD294" s="3"/>
    </row>
    <row r="295" spans="1:30" x14ac:dyDescent="0.25">
      <c r="A295">
        <v>279</v>
      </c>
      <c r="B295" s="1">
        <v>42354</v>
      </c>
      <c r="C295" s="33">
        <f t="shared" si="8"/>
        <v>42354</v>
      </c>
      <c r="D295" s="34">
        <f t="shared" si="9"/>
        <v>42354</v>
      </c>
      <c r="E295" s="35" t="s">
        <v>1450</v>
      </c>
      <c r="F295" s="2">
        <v>0.85416666666666663</v>
      </c>
      <c r="G295" s="3" t="s">
        <v>79</v>
      </c>
      <c r="H295" s="3" t="s">
        <v>58</v>
      </c>
      <c r="I295" s="25" t="str">
        <f>VLOOKUP(H295,Tabla5[#All],4,FALSE)</f>
        <v>-31,423018915313, -64,1493562190664</v>
      </c>
      <c r="J295" s="1">
        <v>34870</v>
      </c>
      <c r="K295" s="7">
        <f>INT((crimenes_cordoba_ampliado[[#This Row],[Fecha]]-crimenes_cordoba_ampliado[[#This Row],[Fecha Nac. Delincuente]])/365)</f>
        <v>20</v>
      </c>
      <c r="L295" s="7" t="str">
        <f>_xlfn.XLOOKUP(crimenes_cordoba_ampliado[[#This Row],[EDAD DELINCUENTE]],'Rango etareo'!$A$10:$A$25,'Rango etareo'!$B$10:$B$25,,-1)</f>
        <v>18 - 25</v>
      </c>
      <c r="M295" s="3" t="s">
        <v>21</v>
      </c>
      <c r="N295" s="3" t="str">
        <f>IF(crimenes_cordoba_ampliado[[#This Row],[Género Delincuente]]="Femenino","🚺","🚹")</f>
        <v>🚺</v>
      </c>
      <c r="O295">
        <v>5</v>
      </c>
      <c r="P295" s="1">
        <v>19356</v>
      </c>
      <c r="Q295" s="7">
        <f>INT((crimenes_cordoba_ampliado[[#This Row],[Fecha]]-crimenes_cordoba_ampliado[[#This Row],[Fecha Nac. Víctima]])/365)</f>
        <v>63</v>
      </c>
      <c r="R295" s="7" t="str">
        <f>_xlfn.XLOOKUP(crimenes_cordoba_ampliado[[#This Row],[EDAD VICTIMA]],'Rango etareo'!$A$2:$A$25,'Rango etareo'!$B$2:$B$25,,-1)</f>
        <v>56 - 65</v>
      </c>
      <c r="S295" s="3" t="s">
        <v>21</v>
      </c>
      <c r="T295" s="3" t="str">
        <f>IF(crimenes_cordoba_ampliado[[#This Row],[Género Víctima]]="Masculino","🚹","🚺")</f>
        <v>🚺</v>
      </c>
      <c r="U295">
        <v>2</v>
      </c>
      <c r="V295" s="3" t="s">
        <v>23</v>
      </c>
      <c r="W295" s="3" t="s">
        <v>24</v>
      </c>
      <c r="X295" s="3" t="s">
        <v>24</v>
      </c>
      <c r="Y295" s="3" t="s">
        <v>46</v>
      </c>
      <c r="Z295" s="3" t="s">
        <v>23</v>
      </c>
      <c r="AA295" s="3" t="s">
        <v>23</v>
      </c>
      <c r="AB295" s="3" t="str">
        <f>IF(crimenes_cordoba_ampliado[[#This Row],[Hubo Arresto]]="Sí", "Resuelto", "Pendiente")</f>
        <v>Resuelto</v>
      </c>
      <c r="AC295" s="3" t="s">
        <v>95</v>
      </c>
      <c r="AD295" s="3"/>
    </row>
    <row r="296" spans="1:30" x14ac:dyDescent="0.25">
      <c r="A296">
        <v>845</v>
      </c>
      <c r="B296" s="1">
        <v>43199</v>
      </c>
      <c r="C296" s="33">
        <f t="shared" si="8"/>
        <v>43199</v>
      </c>
      <c r="D296" s="34">
        <f t="shared" si="9"/>
        <v>43199</v>
      </c>
      <c r="E296" s="35" t="s">
        <v>1452</v>
      </c>
      <c r="F296" s="2">
        <v>0.38333333333333336</v>
      </c>
      <c r="G296" s="3" t="s">
        <v>31</v>
      </c>
      <c r="H296" s="3" t="s">
        <v>65</v>
      </c>
      <c r="I296" s="25" t="str">
        <f>VLOOKUP(H296,Tabla5[#All],4,FALSE)</f>
        <v>-31,4285567311661, -64,1853198281007</v>
      </c>
      <c r="J296" s="1">
        <v>29268</v>
      </c>
      <c r="K296" s="7">
        <f>INT((crimenes_cordoba_ampliado[[#This Row],[Fecha]]-crimenes_cordoba_ampliado[[#This Row],[Fecha Nac. Delincuente]])/365)</f>
        <v>38</v>
      </c>
      <c r="L296" s="7" t="str">
        <f>_xlfn.XLOOKUP(crimenes_cordoba_ampliado[[#This Row],[EDAD DELINCUENTE]],'Rango etareo'!$A$10:$A$25,'Rango etareo'!$B$10:$B$25,,-1)</f>
        <v>36 - 45</v>
      </c>
      <c r="M296" s="3" t="s">
        <v>22</v>
      </c>
      <c r="N296" s="3" t="str">
        <f>IF(crimenes_cordoba_ampliado[[#This Row],[Género Delincuente]]="Femenino","🚺","🚹")</f>
        <v>🚹</v>
      </c>
      <c r="O296">
        <v>3</v>
      </c>
      <c r="P296" s="1">
        <v>27966</v>
      </c>
      <c r="Q296" s="7">
        <f>INT((crimenes_cordoba_ampliado[[#This Row],[Fecha]]-crimenes_cordoba_ampliado[[#This Row],[Fecha Nac. Víctima]])/365)</f>
        <v>41</v>
      </c>
      <c r="R296" s="7" t="str">
        <f>_xlfn.XLOOKUP(crimenes_cordoba_ampliado[[#This Row],[EDAD VICTIMA]],'Rango etareo'!$A$2:$A$25,'Rango etareo'!$B$2:$B$25,,-1)</f>
        <v>36 - 45</v>
      </c>
      <c r="S296" s="3" t="s">
        <v>22</v>
      </c>
      <c r="T296" s="3" t="str">
        <f>IF(crimenes_cordoba_ampliado[[#This Row],[Género Víctima]]="Masculino","🚹","🚺")</f>
        <v>🚹</v>
      </c>
      <c r="U296">
        <v>1</v>
      </c>
      <c r="V296" s="3" t="s">
        <v>25</v>
      </c>
      <c r="W296" s="3" t="s">
        <v>24</v>
      </c>
      <c r="X296" s="3" t="s">
        <v>24</v>
      </c>
      <c r="Y296" s="3" t="s">
        <v>39</v>
      </c>
      <c r="Z296" s="3" t="s">
        <v>25</v>
      </c>
      <c r="AA296" s="3" t="s">
        <v>25</v>
      </c>
      <c r="AB296" s="3" t="str">
        <f>IF(crimenes_cordoba_ampliado[[#This Row],[Hubo Arresto]]="Sí", "Resuelto", "Pendiente")</f>
        <v>Pendiente</v>
      </c>
      <c r="AC296" s="3" t="s">
        <v>24</v>
      </c>
      <c r="AD296" s="3"/>
    </row>
    <row r="297" spans="1:30" x14ac:dyDescent="0.25">
      <c r="A297">
        <v>795</v>
      </c>
      <c r="B297" s="1">
        <v>43212</v>
      </c>
      <c r="C297" s="33">
        <f t="shared" si="8"/>
        <v>43212</v>
      </c>
      <c r="D297" s="34">
        <f t="shared" si="9"/>
        <v>43212</v>
      </c>
      <c r="E297" s="35" t="s">
        <v>1449</v>
      </c>
      <c r="F297" s="2">
        <v>0.46875</v>
      </c>
      <c r="G297" s="3" t="s">
        <v>48</v>
      </c>
      <c r="H297" s="3" t="s">
        <v>65</v>
      </c>
      <c r="I297" s="25" t="str">
        <f>VLOOKUP(H297,Tabla5[#All],4,FALSE)</f>
        <v>-31,4285567311661, -64,1853198281007</v>
      </c>
      <c r="J297" s="1">
        <v>36362</v>
      </c>
      <c r="K297" s="7">
        <f>INT((crimenes_cordoba_ampliado[[#This Row],[Fecha]]-crimenes_cordoba_ampliado[[#This Row],[Fecha Nac. Delincuente]])/365)</f>
        <v>18</v>
      </c>
      <c r="L297" s="7" t="str">
        <f>_xlfn.XLOOKUP(crimenes_cordoba_ampliado[[#This Row],[EDAD DELINCUENTE]],'Rango etareo'!$A$10:$A$25,'Rango etareo'!$B$10:$B$25,,-1)</f>
        <v>18 - 25</v>
      </c>
      <c r="M297" s="3" t="s">
        <v>21</v>
      </c>
      <c r="N297" s="3" t="str">
        <f>IF(crimenes_cordoba_ampliado[[#This Row],[Género Delincuente]]="Femenino","🚺","🚹")</f>
        <v>🚺</v>
      </c>
      <c r="O297">
        <v>2</v>
      </c>
      <c r="P297" s="1">
        <v>26671</v>
      </c>
      <c r="Q297" s="7">
        <f>INT((crimenes_cordoba_ampliado[[#This Row],[Fecha]]-crimenes_cordoba_ampliado[[#This Row],[Fecha Nac. Víctima]])/365)</f>
        <v>45</v>
      </c>
      <c r="R297" s="7" t="str">
        <f>_xlfn.XLOOKUP(crimenes_cordoba_ampliado[[#This Row],[EDAD VICTIMA]],'Rango etareo'!$A$2:$A$25,'Rango etareo'!$B$2:$B$25,,-1)</f>
        <v>36 - 45</v>
      </c>
      <c r="S297" s="3" t="s">
        <v>21</v>
      </c>
      <c r="T297" s="3" t="str">
        <f>IF(crimenes_cordoba_ampliado[[#This Row],[Género Víctima]]="Masculino","🚹","🚺")</f>
        <v>🚺</v>
      </c>
      <c r="U297">
        <v>3</v>
      </c>
      <c r="V297" s="3" t="s">
        <v>25</v>
      </c>
      <c r="W297" s="3" t="s">
        <v>24</v>
      </c>
      <c r="X297" s="3" t="s">
        <v>24</v>
      </c>
      <c r="Y297" s="3" t="s">
        <v>56</v>
      </c>
      <c r="Z297" s="3" t="s">
        <v>25</v>
      </c>
      <c r="AA297" s="3" t="s">
        <v>23</v>
      </c>
      <c r="AB297" s="3" t="str">
        <f>IF(crimenes_cordoba_ampliado[[#This Row],[Hubo Arresto]]="Sí", "Resuelto", "Pendiente")</f>
        <v>Pendiente</v>
      </c>
      <c r="AC297" s="3" t="s">
        <v>24</v>
      </c>
      <c r="AD297" s="3"/>
    </row>
    <row r="298" spans="1:30" x14ac:dyDescent="0.25">
      <c r="A298">
        <v>280</v>
      </c>
      <c r="B298" s="1">
        <v>44873</v>
      </c>
      <c r="C298" s="33">
        <f t="shared" si="8"/>
        <v>44873</v>
      </c>
      <c r="D298" s="34">
        <f t="shared" si="9"/>
        <v>44873</v>
      </c>
      <c r="E298" s="35" t="s">
        <v>1453</v>
      </c>
      <c r="F298" s="2">
        <v>0.78333333333333333</v>
      </c>
      <c r="G298" s="3" t="s">
        <v>81</v>
      </c>
      <c r="H298" s="3" t="s">
        <v>52</v>
      </c>
      <c r="I298" s="25" t="str">
        <f>VLOOKUP(H298,Tabla5[#All],4,FALSE)</f>
        <v>-31,3477902896523, -64,2644406169297</v>
      </c>
      <c r="J298" s="1">
        <v>34479</v>
      </c>
      <c r="K298" s="7">
        <f>INT((crimenes_cordoba_ampliado[[#This Row],[Fecha]]-crimenes_cordoba_ampliado[[#This Row],[Fecha Nac. Delincuente]])/365)</f>
        <v>28</v>
      </c>
      <c r="L298" s="7" t="str">
        <f>_xlfn.XLOOKUP(crimenes_cordoba_ampliado[[#This Row],[EDAD DELINCUENTE]],'Rango etareo'!$A$10:$A$25,'Rango etareo'!$B$10:$B$25,,-1)</f>
        <v>26 - 35</v>
      </c>
      <c r="M298" s="3" t="s">
        <v>21</v>
      </c>
      <c r="N298" s="3" t="str">
        <f>IF(crimenes_cordoba_ampliado[[#This Row],[Género Delincuente]]="Femenino","🚺","🚹")</f>
        <v>🚺</v>
      </c>
      <c r="O298">
        <v>4</v>
      </c>
      <c r="P298" s="1">
        <v>31368</v>
      </c>
      <c r="Q298" s="7">
        <f>INT((crimenes_cordoba_ampliado[[#This Row],[Fecha]]-crimenes_cordoba_ampliado[[#This Row],[Fecha Nac. Víctima]])/365)</f>
        <v>37</v>
      </c>
      <c r="R298" s="7" t="str">
        <f>_xlfn.XLOOKUP(crimenes_cordoba_ampliado[[#This Row],[EDAD VICTIMA]],'Rango etareo'!$A$2:$A$25,'Rango etareo'!$B$2:$B$25,,-1)</f>
        <v>36 - 45</v>
      </c>
      <c r="S298" s="3" t="s">
        <v>22</v>
      </c>
      <c r="T298" s="3" t="str">
        <f>IF(crimenes_cordoba_ampliado[[#This Row],[Género Víctima]]="Masculino","🚹","🚺")</f>
        <v>🚹</v>
      </c>
      <c r="U298">
        <v>3</v>
      </c>
      <c r="V298" s="3" t="s">
        <v>23</v>
      </c>
      <c r="W298" s="3" t="s">
        <v>24</v>
      </c>
      <c r="X298" s="3" t="s">
        <v>67</v>
      </c>
      <c r="Y298" s="3" t="s">
        <v>24</v>
      </c>
      <c r="Z298" s="3" t="s">
        <v>25</v>
      </c>
      <c r="AA298" s="3" t="s">
        <v>25</v>
      </c>
      <c r="AB298" s="3" t="str">
        <f>IF(crimenes_cordoba_ampliado[[#This Row],[Hubo Arresto]]="Sí", "Resuelto", "Pendiente")</f>
        <v>Resuelto</v>
      </c>
      <c r="AC298" s="3" t="s">
        <v>193</v>
      </c>
      <c r="AD298" s="3"/>
    </row>
    <row r="299" spans="1:30" x14ac:dyDescent="0.25">
      <c r="A299">
        <v>256</v>
      </c>
      <c r="B299" s="1">
        <v>43225</v>
      </c>
      <c r="C299" s="33">
        <f t="shared" si="8"/>
        <v>43225</v>
      </c>
      <c r="D299" s="34">
        <f t="shared" si="9"/>
        <v>43225</v>
      </c>
      <c r="E299" s="35" t="s">
        <v>1451</v>
      </c>
      <c r="F299" s="2">
        <v>0.43888888888888888</v>
      </c>
      <c r="G299" s="3" t="s">
        <v>79</v>
      </c>
      <c r="H299" s="3" t="s">
        <v>49</v>
      </c>
      <c r="I299" s="25" t="str">
        <f>VLOOKUP(H299,Tabla5[#All],4,FALSE)</f>
        <v>-31,4506257494184, -64,1733054344705</v>
      </c>
      <c r="J299" s="1">
        <v>20475</v>
      </c>
      <c r="K299" s="7">
        <f>INT((crimenes_cordoba_ampliado[[#This Row],[Fecha]]-crimenes_cordoba_ampliado[[#This Row],[Fecha Nac. Delincuente]])/365)</f>
        <v>62</v>
      </c>
      <c r="L299" s="7" t="str">
        <f>_xlfn.XLOOKUP(crimenes_cordoba_ampliado[[#This Row],[EDAD DELINCUENTE]],'Rango etareo'!$A$10:$A$25,'Rango etareo'!$B$10:$B$25,,-1)</f>
        <v>56 - 65</v>
      </c>
      <c r="M299" s="3" t="s">
        <v>22</v>
      </c>
      <c r="N299" s="3" t="str">
        <f>IF(crimenes_cordoba_ampliado[[#This Row],[Género Delincuente]]="Femenino","🚺","🚹")</f>
        <v>🚹</v>
      </c>
      <c r="O299">
        <v>4</v>
      </c>
      <c r="P299" s="1">
        <v>30920</v>
      </c>
      <c r="Q299" s="7">
        <f>INT((crimenes_cordoba_ampliado[[#This Row],[Fecha]]-crimenes_cordoba_ampliado[[#This Row],[Fecha Nac. Víctima]])/365)</f>
        <v>33</v>
      </c>
      <c r="R299" s="7" t="str">
        <f>_xlfn.XLOOKUP(crimenes_cordoba_ampliado[[#This Row],[EDAD VICTIMA]],'Rango etareo'!$A$2:$A$25,'Rango etareo'!$B$2:$B$25,,-1)</f>
        <v>26 - 35</v>
      </c>
      <c r="S299" s="3" t="s">
        <v>21</v>
      </c>
      <c r="T299" s="3" t="str">
        <f>IF(crimenes_cordoba_ampliado[[#This Row],[Género Víctima]]="Masculino","🚹","🚺")</f>
        <v>🚺</v>
      </c>
      <c r="U299">
        <v>1</v>
      </c>
      <c r="V299" s="3" t="s">
        <v>25</v>
      </c>
      <c r="W299" s="3" t="s">
        <v>24</v>
      </c>
      <c r="X299" s="3" t="s">
        <v>24</v>
      </c>
      <c r="Y299" s="3" t="s">
        <v>43</v>
      </c>
      <c r="Z299" s="3" t="s">
        <v>25</v>
      </c>
      <c r="AA299" s="3" t="s">
        <v>23</v>
      </c>
      <c r="AB299" s="3" t="str">
        <f>IF(crimenes_cordoba_ampliado[[#This Row],[Hubo Arresto]]="Sí", "Resuelto", "Pendiente")</f>
        <v>Pendiente</v>
      </c>
      <c r="AC299" s="3" t="s">
        <v>24</v>
      </c>
      <c r="AD299" s="3"/>
    </row>
    <row r="300" spans="1:30" x14ac:dyDescent="0.25">
      <c r="A300">
        <v>439</v>
      </c>
      <c r="B300" s="1">
        <v>43233</v>
      </c>
      <c r="C300" s="33">
        <f t="shared" si="8"/>
        <v>43233</v>
      </c>
      <c r="D300" s="34">
        <f t="shared" si="9"/>
        <v>43233</v>
      </c>
      <c r="E300" s="35" t="s">
        <v>1449</v>
      </c>
      <c r="F300" s="2">
        <v>0.75555555555555554</v>
      </c>
      <c r="G300" s="3" t="s">
        <v>79</v>
      </c>
      <c r="H300" s="3" t="s">
        <v>40</v>
      </c>
      <c r="I300" s="25" t="str">
        <f>VLOOKUP(H300,Tabla5[#All],4,FALSE)</f>
        <v>-31,334500143441, -64,2460773260564</v>
      </c>
      <c r="J300" s="1">
        <v>29531</v>
      </c>
      <c r="K300" s="7">
        <f>INT((crimenes_cordoba_ampliado[[#This Row],[Fecha]]-crimenes_cordoba_ampliado[[#This Row],[Fecha Nac. Delincuente]])/365)</f>
        <v>37</v>
      </c>
      <c r="L300" s="7" t="str">
        <f>_xlfn.XLOOKUP(crimenes_cordoba_ampliado[[#This Row],[EDAD DELINCUENTE]],'Rango etareo'!$A$10:$A$25,'Rango etareo'!$B$10:$B$25,,-1)</f>
        <v>36 - 45</v>
      </c>
      <c r="M300" s="3" t="s">
        <v>21</v>
      </c>
      <c r="N300" s="3" t="str">
        <f>IF(crimenes_cordoba_ampliado[[#This Row],[Género Delincuente]]="Femenino","🚺","🚹")</f>
        <v>🚺</v>
      </c>
      <c r="O300">
        <v>5</v>
      </c>
      <c r="P300" s="1">
        <v>16992</v>
      </c>
      <c r="Q300" s="7">
        <f>INT((crimenes_cordoba_ampliado[[#This Row],[Fecha]]-crimenes_cordoba_ampliado[[#This Row],[Fecha Nac. Víctima]])/365)</f>
        <v>71</v>
      </c>
      <c r="R300" s="7" t="str">
        <f>_xlfn.XLOOKUP(crimenes_cordoba_ampliado[[#This Row],[EDAD VICTIMA]],'Rango etareo'!$A$2:$A$25,'Rango etareo'!$B$2:$B$25,,-1)</f>
        <v>&gt;65</v>
      </c>
      <c r="S300" s="3" t="s">
        <v>21</v>
      </c>
      <c r="T300" s="3" t="str">
        <f>IF(crimenes_cordoba_ampliado[[#This Row],[Género Víctima]]="Masculino","🚹","🚺")</f>
        <v>🚺</v>
      </c>
      <c r="U300">
        <v>1</v>
      </c>
      <c r="V300" s="3" t="s">
        <v>25</v>
      </c>
      <c r="W300" s="3" t="s">
        <v>36</v>
      </c>
      <c r="X300" s="3" t="s">
        <v>24</v>
      </c>
      <c r="Y300" s="3" t="s">
        <v>101</v>
      </c>
      <c r="Z300" s="3" t="s">
        <v>23</v>
      </c>
      <c r="AA300" s="3" t="s">
        <v>25</v>
      </c>
      <c r="AB300" s="3" t="str">
        <f>IF(crimenes_cordoba_ampliado[[#This Row],[Hubo Arresto]]="Sí", "Resuelto", "Pendiente")</f>
        <v>Pendiente</v>
      </c>
      <c r="AC300" s="3" t="s">
        <v>24</v>
      </c>
      <c r="AD300" s="3"/>
    </row>
    <row r="301" spans="1:30" x14ac:dyDescent="0.25">
      <c r="A301">
        <v>281</v>
      </c>
      <c r="B301" s="1">
        <v>44077</v>
      </c>
      <c r="C301" s="33">
        <f t="shared" si="8"/>
        <v>44077</v>
      </c>
      <c r="D301" s="34">
        <f t="shared" si="9"/>
        <v>44077</v>
      </c>
      <c r="E301" s="35" t="s">
        <v>1454</v>
      </c>
      <c r="F301" s="2">
        <v>0.98541666666666672</v>
      </c>
      <c r="G301" s="3" t="s">
        <v>19</v>
      </c>
      <c r="H301" s="3" t="s">
        <v>52</v>
      </c>
      <c r="I301" s="25" t="str">
        <f>VLOOKUP(H301,Tabla5[#All],4,FALSE)</f>
        <v>-31,3477902896523, -64,2644406169297</v>
      </c>
      <c r="J301" s="1">
        <v>32861</v>
      </c>
      <c r="K301" s="7">
        <f>INT((crimenes_cordoba_ampliado[[#This Row],[Fecha]]-crimenes_cordoba_ampliado[[#This Row],[Fecha Nac. Delincuente]])/365)</f>
        <v>30</v>
      </c>
      <c r="L301" s="7" t="str">
        <f>_xlfn.XLOOKUP(crimenes_cordoba_ampliado[[#This Row],[EDAD DELINCUENTE]],'Rango etareo'!$A$10:$A$25,'Rango etareo'!$B$10:$B$25,,-1)</f>
        <v>26 - 35</v>
      </c>
      <c r="M301" s="3" t="s">
        <v>22</v>
      </c>
      <c r="N301" s="3" t="str">
        <f>IF(crimenes_cordoba_ampliado[[#This Row],[Género Delincuente]]="Femenino","🚺","🚹")</f>
        <v>🚹</v>
      </c>
      <c r="O301">
        <v>4</v>
      </c>
      <c r="P301" s="1">
        <v>41599</v>
      </c>
      <c r="Q301" s="7">
        <f>INT((crimenes_cordoba_ampliado[[#This Row],[Fecha]]-crimenes_cordoba_ampliado[[#This Row],[Fecha Nac. Víctima]])/365)</f>
        <v>6</v>
      </c>
      <c r="R301" s="7" t="str">
        <f>_xlfn.XLOOKUP(crimenes_cordoba_ampliado[[#This Row],[EDAD VICTIMA]],'Rango etareo'!$A$2:$A$25,'Rango etareo'!$B$2:$B$25,,-1)</f>
        <v>&lt;=17</v>
      </c>
      <c r="S301" s="3" t="s">
        <v>21</v>
      </c>
      <c r="T301" s="3" t="str">
        <f>IF(crimenes_cordoba_ampliado[[#This Row],[Género Víctima]]="Masculino","🚹","🚺")</f>
        <v>🚺</v>
      </c>
      <c r="U301">
        <v>2</v>
      </c>
      <c r="V301" s="3" t="s">
        <v>23</v>
      </c>
      <c r="W301" s="3" t="s">
        <v>24</v>
      </c>
      <c r="X301" s="3" t="s">
        <v>24</v>
      </c>
      <c r="Y301" s="3" t="s">
        <v>86</v>
      </c>
      <c r="Z301" s="3" t="s">
        <v>25</v>
      </c>
      <c r="AA301" s="3" t="s">
        <v>23</v>
      </c>
      <c r="AB301" s="3" t="str">
        <f>IF(crimenes_cordoba_ampliado[[#This Row],[Hubo Arresto]]="Sí", "Resuelto", "Pendiente")</f>
        <v>Resuelto</v>
      </c>
      <c r="AC301" s="3" t="s">
        <v>194</v>
      </c>
      <c r="AD301" s="3"/>
    </row>
    <row r="302" spans="1:30" x14ac:dyDescent="0.25">
      <c r="A302">
        <v>369</v>
      </c>
      <c r="B302" s="1">
        <v>43234</v>
      </c>
      <c r="C302" s="33">
        <f t="shared" si="8"/>
        <v>43234</v>
      </c>
      <c r="D302" s="34">
        <f t="shared" si="9"/>
        <v>43234</v>
      </c>
      <c r="E302" s="35" t="s">
        <v>1452</v>
      </c>
      <c r="F302" s="2">
        <v>0.8569444444444444</v>
      </c>
      <c r="G302" s="3" t="s">
        <v>38</v>
      </c>
      <c r="H302" s="3" t="s">
        <v>32</v>
      </c>
      <c r="I302" s="25" t="str">
        <f>VLOOKUP(H302,Tabla5[#All],4,FALSE)</f>
        <v>-31,4148488101991, -64,1793406489438</v>
      </c>
      <c r="J302" s="1">
        <v>23607</v>
      </c>
      <c r="K302" s="7">
        <f>INT((crimenes_cordoba_ampliado[[#This Row],[Fecha]]-crimenes_cordoba_ampliado[[#This Row],[Fecha Nac. Delincuente]])/365)</f>
        <v>53</v>
      </c>
      <c r="L302" s="7" t="str">
        <f>_xlfn.XLOOKUP(crimenes_cordoba_ampliado[[#This Row],[EDAD DELINCUENTE]],'Rango etareo'!$A$10:$A$25,'Rango etareo'!$B$10:$B$25,,-1)</f>
        <v>46 - 55</v>
      </c>
      <c r="M302" s="3" t="s">
        <v>22</v>
      </c>
      <c r="N302" s="3" t="str">
        <f>IF(crimenes_cordoba_ampliado[[#This Row],[Género Delincuente]]="Femenino","🚺","🚹")</f>
        <v>🚹</v>
      </c>
      <c r="O302">
        <v>3</v>
      </c>
      <c r="P302" s="1">
        <v>21380</v>
      </c>
      <c r="Q302" s="7">
        <f>INT((crimenes_cordoba_ampliado[[#This Row],[Fecha]]-crimenes_cordoba_ampliado[[#This Row],[Fecha Nac. Víctima]])/365)</f>
        <v>59</v>
      </c>
      <c r="R302" s="7" t="str">
        <f>_xlfn.XLOOKUP(crimenes_cordoba_ampliado[[#This Row],[EDAD VICTIMA]],'Rango etareo'!$A$2:$A$25,'Rango etareo'!$B$2:$B$25,,-1)</f>
        <v>56 - 65</v>
      </c>
      <c r="S302" s="3" t="s">
        <v>21</v>
      </c>
      <c r="T302" s="3" t="str">
        <f>IF(crimenes_cordoba_ampliado[[#This Row],[Género Víctima]]="Masculino","🚹","🚺")</f>
        <v>🚺</v>
      </c>
      <c r="U302">
        <v>2</v>
      </c>
      <c r="V302" s="3" t="s">
        <v>25</v>
      </c>
      <c r="W302" s="3" t="s">
        <v>24</v>
      </c>
      <c r="X302" s="3" t="s">
        <v>24</v>
      </c>
      <c r="Y302" s="3" t="s">
        <v>24</v>
      </c>
      <c r="Z302" s="3" t="s">
        <v>25</v>
      </c>
      <c r="AA302" s="3" t="s">
        <v>25</v>
      </c>
      <c r="AB302" s="3" t="str">
        <f>IF(crimenes_cordoba_ampliado[[#This Row],[Hubo Arresto]]="Sí", "Resuelto", "Pendiente")</f>
        <v>Pendiente</v>
      </c>
      <c r="AC302" s="3" t="s">
        <v>24</v>
      </c>
      <c r="AD302" s="3"/>
    </row>
    <row r="303" spans="1:30" x14ac:dyDescent="0.25">
      <c r="A303">
        <v>282</v>
      </c>
      <c r="B303" s="1">
        <v>43040</v>
      </c>
      <c r="C303" s="33">
        <f t="shared" si="8"/>
        <v>43040</v>
      </c>
      <c r="D303" s="34">
        <f t="shared" si="9"/>
        <v>43040</v>
      </c>
      <c r="E303" s="35" t="s">
        <v>1450</v>
      </c>
      <c r="F303" s="2">
        <v>0.94097222222222221</v>
      </c>
      <c r="G303" s="3" t="s">
        <v>79</v>
      </c>
      <c r="H303" s="3" t="s">
        <v>70</v>
      </c>
      <c r="I303" s="25" t="str">
        <f>VLOOKUP(H303,Tabla5[#All],4,FALSE)</f>
        <v>-31,3759272890294, -64,2284587792478</v>
      </c>
      <c r="J303" s="1">
        <v>27541</v>
      </c>
      <c r="K303" s="7">
        <f>INT((crimenes_cordoba_ampliado[[#This Row],[Fecha]]-crimenes_cordoba_ampliado[[#This Row],[Fecha Nac. Delincuente]])/365)</f>
        <v>42</v>
      </c>
      <c r="L303" s="7" t="str">
        <f>_xlfn.XLOOKUP(crimenes_cordoba_ampliado[[#This Row],[EDAD DELINCUENTE]],'Rango etareo'!$A$10:$A$25,'Rango etareo'!$B$10:$B$25,,-1)</f>
        <v>36 - 45</v>
      </c>
      <c r="M303" s="3" t="s">
        <v>22</v>
      </c>
      <c r="N303" s="3" t="str">
        <f>IF(crimenes_cordoba_ampliado[[#This Row],[Género Delincuente]]="Femenino","🚺","🚹")</f>
        <v>🚹</v>
      </c>
      <c r="O303">
        <v>3</v>
      </c>
      <c r="P303" s="1">
        <v>26437</v>
      </c>
      <c r="Q303" s="7">
        <f>INT((crimenes_cordoba_ampliado[[#This Row],[Fecha]]-crimenes_cordoba_ampliado[[#This Row],[Fecha Nac. Víctima]])/365)</f>
        <v>45</v>
      </c>
      <c r="R303" s="7" t="str">
        <f>_xlfn.XLOOKUP(crimenes_cordoba_ampliado[[#This Row],[EDAD VICTIMA]],'Rango etareo'!$A$2:$A$25,'Rango etareo'!$B$2:$B$25,,-1)</f>
        <v>36 - 45</v>
      </c>
      <c r="S303" s="3" t="s">
        <v>22</v>
      </c>
      <c r="T303" s="3" t="str">
        <f>IF(crimenes_cordoba_ampliado[[#This Row],[Género Víctima]]="Masculino","🚹","🚺")</f>
        <v>🚹</v>
      </c>
      <c r="U303">
        <v>2</v>
      </c>
      <c r="V303" s="3" t="s">
        <v>23</v>
      </c>
      <c r="W303" s="3" t="s">
        <v>24</v>
      </c>
      <c r="X303" s="3" t="s">
        <v>24</v>
      </c>
      <c r="Y303" s="3" t="s">
        <v>24</v>
      </c>
      <c r="Z303" s="3" t="s">
        <v>25</v>
      </c>
      <c r="AA303" s="3" t="s">
        <v>23</v>
      </c>
      <c r="AB303" s="3" t="str">
        <f>IF(crimenes_cordoba_ampliado[[#This Row],[Hubo Arresto]]="Sí", "Resuelto", "Pendiente")</f>
        <v>Resuelto</v>
      </c>
      <c r="AC303" s="3" t="s">
        <v>195</v>
      </c>
      <c r="AD303" s="3"/>
    </row>
    <row r="304" spans="1:30" x14ac:dyDescent="0.25">
      <c r="A304">
        <v>284</v>
      </c>
      <c r="B304" s="1">
        <v>43682</v>
      </c>
      <c r="C304" s="33">
        <f t="shared" si="8"/>
        <v>43682</v>
      </c>
      <c r="D304" s="34">
        <f t="shared" si="9"/>
        <v>43682</v>
      </c>
      <c r="E304" s="35" t="s">
        <v>1452</v>
      </c>
      <c r="F304" s="2">
        <v>0.54583333333333328</v>
      </c>
      <c r="G304" s="3" t="s">
        <v>51</v>
      </c>
      <c r="H304" s="3" t="s">
        <v>40</v>
      </c>
      <c r="I304" s="25" t="str">
        <f>VLOOKUP(H304,Tabla5[#All],4,FALSE)</f>
        <v>-31,334500143441, -64,2460773260564</v>
      </c>
      <c r="J304" s="1">
        <v>19929</v>
      </c>
      <c r="K304" s="7">
        <f>INT((crimenes_cordoba_ampliado[[#This Row],[Fecha]]-crimenes_cordoba_ampliado[[#This Row],[Fecha Nac. Delincuente]])/365)</f>
        <v>65</v>
      </c>
      <c r="L304" s="7" t="str">
        <f>_xlfn.XLOOKUP(crimenes_cordoba_ampliado[[#This Row],[EDAD DELINCUENTE]],'Rango etareo'!$A$10:$A$25,'Rango etareo'!$B$10:$B$25,,-1)</f>
        <v>&gt;65</v>
      </c>
      <c r="M304" s="3" t="s">
        <v>21</v>
      </c>
      <c r="N304" s="3" t="str">
        <f>IF(crimenes_cordoba_ampliado[[#This Row],[Género Delincuente]]="Femenino","🚺","🚹")</f>
        <v>🚺</v>
      </c>
      <c r="O304">
        <v>2</v>
      </c>
      <c r="P304" s="1">
        <v>29958</v>
      </c>
      <c r="Q304" s="7">
        <f>INT((crimenes_cordoba_ampliado[[#This Row],[Fecha]]-crimenes_cordoba_ampliado[[#This Row],[Fecha Nac. Víctima]])/365)</f>
        <v>37</v>
      </c>
      <c r="R304" s="7" t="str">
        <f>_xlfn.XLOOKUP(crimenes_cordoba_ampliado[[#This Row],[EDAD VICTIMA]],'Rango etareo'!$A$2:$A$25,'Rango etareo'!$B$2:$B$25,,-1)</f>
        <v>36 - 45</v>
      </c>
      <c r="S304" s="3" t="s">
        <v>21</v>
      </c>
      <c r="T304" s="3" t="str">
        <f>IF(crimenes_cordoba_ampliado[[#This Row],[Género Víctima]]="Masculino","🚹","🚺")</f>
        <v>🚺</v>
      </c>
      <c r="U304">
        <v>3</v>
      </c>
      <c r="V304" s="3" t="s">
        <v>23</v>
      </c>
      <c r="W304" s="3" t="s">
        <v>24</v>
      </c>
      <c r="X304" s="3" t="s">
        <v>29</v>
      </c>
      <c r="Y304" s="3" t="s">
        <v>24</v>
      </c>
      <c r="Z304" s="3" t="s">
        <v>23</v>
      </c>
      <c r="AA304" s="3" t="s">
        <v>23</v>
      </c>
      <c r="AB304" s="3" t="str">
        <f>IF(crimenes_cordoba_ampliado[[#This Row],[Hubo Arresto]]="Sí", "Resuelto", "Pendiente")</f>
        <v>Resuelto</v>
      </c>
      <c r="AC304" s="3" t="s">
        <v>136</v>
      </c>
      <c r="AD304" s="3"/>
    </row>
    <row r="305" spans="1:30" x14ac:dyDescent="0.25">
      <c r="A305">
        <v>285</v>
      </c>
      <c r="B305" s="1">
        <v>43350</v>
      </c>
      <c r="C305" s="33">
        <f t="shared" si="8"/>
        <v>43350</v>
      </c>
      <c r="D305" s="34">
        <f t="shared" si="9"/>
        <v>43350</v>
      </c>
      <c r="E305" s="35" t="s">
        <v>1455</v>
      </c>
      <c r="F305" s="2">
        <v>0.75347222222222221</v>
      </c>
      <c r="G305" s="3" t="s">
        <v>81</v>
      </c>
      <c r="H305" s="3" t="s">
        <v>55</v>
      </c>
      <c r="I305" s="25" t="str">
        <f>VLOOKUP(H305,Tabla5[#All],4,FALSE)</f>
        <v>-31,4015892433235, -64,160442876477</v>
      </c>
      <c r="J305" s="1">
        <v>34127</v>
      </c>
      <c r="K305" s="7">
        <f>INT((crimenes_cordoba_ampliado[[#This Row],[Fecha]]-crimenes_cordoba_ampliado[[#This Row],[Fecha Nac. Delincuente]])/365)</f>
        <v>25</v>
      </c>
      <c r="L305" s="7" t="str">
        <f>_xlfn.XLOOKUP(crimenes_cordoba_ampliado[[#This Row],[EDAD DELINCUENTE]],'Rango etareo'!$A$10:$A$25,'Rango etareo'!$B$10:$B$25,,-1)</f>
        <v>18 - 25</v>
      </c>
      <c r="M305" s="3" t="s">
        <v>22</v>
      </c>
      <c r="N305" s="3" t="str">
        <f>IF(crimenes_cordoba_ampliado[[#This Row],[Género Delincuente]]="Femenino","🚺","🚹")</f>
        <v>🚹</v>
      </c>
      <c r="O305">
        <v>5</v>
      </c>
      <c r="P305" s="1">
        <v>35310</v>
      </c>
      <c r="Q305" s="7">
        <f>INT((crimenes_cordoba_ampliado[[#This Row],[Fecha]]-crimenes_cordoba_ampliado[[#This Row],[Fecha Nac. Víctima]])/365)</f>
        <v>22</v>
      </c>
      <c r="R305" s="7" t="str">
        <f>_xlfn.XLOOKUP(crimenes_cordoba_ampliado[[#This Row],[EDAD VICTIMA]],'Rango etareo'!$A$2:$A$25,'Rango etareo'!$B$2:$B$25,,-1)</f>
        <v>18 - 25</v>
      </c>
      <c r="S305" s="3" t="s">
        <v>21</v>
      </c>
      <c r="T305" s="3" t="str">
        <f>IF(crimenes_cordoba_ampliado[[#This Row],[Género Víctima]]="Masculino","🚹","🚺")</f>
        <v>🚺</v>
      </c>
      <c r="U305">
        <v>1</v>
      </c>
      <c r="V305" s="3" t="s">
        <v>23</v>
      </c>
      <c r="W305" s="3" t="s">
        <v>24</v>
      </c>
      <c r="X305" s="3" t="s">
        <v>24</v>
      </c>
      <c r="Y305" s="3" t="s">
        <v>53</v>
      </c>
      <c r="Z305" s="3" t="s">
        <v>25</v>
      </c>
      <c r="AA305" s="3" t="s">
        <v>23</v>
      </c>
      <c r="AB305" s="3" t="str">
        <f>IF(crimenes_cordoba_ampliado[[#This Row],[Hubo Arresto]]="Sí", "Resuelto", "Pendiente")</f>
        <v>Resuelto</v>
      </c>
      <c r="AC305" s="3" t="s">
        <v>76</v>
      </c>
      <c r="AD305" s="3"/>
    </row>
    <row r="306" spans="1:30" x14ac:dyDescent="0.25">
      <c r="A306">
        <v>622</v>
      </c>
      <c r="B306" s="1">
        <v>43243</v>
      </c>
      <c r="C306" s="33">
        <f t="shared" si="8"/>
        <v>43243</v>
      </c>
      <c r="D306" s="34">
        <f t="shared" si="9"/>
        <v>43243</v>
      </c>
      <c r="E306" s="35" t="s">
        <v>1450</v>
      </c>
      <c r="F306" s="2">
        <v>0.70347222222222228</v>
      </c>
      <c r="G306" s="3" t="s">
        <v>27</v>
      </c>
      <c r="H306" s="3" t="s">
        <v>55</v>
      </c>
      <c r="I306" s="25" t="str">
        <f>VLOOKUP(H306,Tabla5[#All],4,FALSE)</f>
        <v>-31,4015892433235, -64,160442876477</v>
      </c>
      <c r="J306" s="1">
        <v>32571</v>
      </c>
      <c r="K306" s="7">
        <f>INT((crimenes_cordoba_ampliado[[#This Row],[Fecha]]-crimenes_cordoba_ampliado[[#This Row],[Fecha Nac. Delincuente]])/365)</f>
        <v>29</v>
      </c>
      <c r="L306" s="7" t="str">
        <f>_xlfn.XLOOKUP(crimenes_cordoba_ampliado[[#This Row],[EDAD DELINCUENTE]],'Rango etareo'!$A$10:$A$25,'Rango etareo'!$B$10:$B$25,,-1)</f>
        <v>26 - 35</v>
      </c>
      <c r="M306" s="3" t="s">
        <v>22</v>
      </c>
      <c r="N306" s="3" t="str">
        <f>IF(crimenes_cordoba_ampliado[[#This Row],[Género Delincuente]]="Femenino","🚺","🚹")</f>
        <v>🚹</v>
      </c>
      <c r="O306">
        <v>3</v>
      </c>
      <c r="P306" s="1">
        <v>36927</v>
      </c>
      <c r="Q306" s="7">
        <f>INT((crimenes_cordoba_ampliado[[#This Row],[Fecha]]-crimenes_cordoba_ampliado[[#This Row],[Fecha Nac. Víctima]])/365)</f>
        <v>17</v>
      </c>
      <c r="R306" s="7" t="str">
        <f>_xlfn.XLOOKUP(crimenes_cordoba_ampliado[[#This Row],[EDAD VICTIMA]],'Rango etareo'!$A$2:$A$25,'Rango etareo'!$B$2:$B$25,,-1)</f>
        <v>&lt;=17</v>
      </c>
      <c r="S306" s="3" t="s">
        <v>21</v>
      </c>
      <c r="T306" s="3" t="str">
        <f>IF(crimenes_cordoba_ampliado[[#This Row],[Género Víctima]]="Masculino","🚹","🚺")</f>
        <v>🚺</v>
      </c>
      <c r="U306">
        <v>3</v>
      </c>
      <c r="V306" s="3" t="s">
        <v>25</v>
      </c>
      <c r="W306" s="3" t="s">
        <v>24</v>
      </c>
      <c r="X306" s="3" t="s">
        <v>24</v>
      </c>
      <c r="Y306" s="3" t="s">
        <v>39</v>
      </c>
      <c r="Z306" s="3" t="s">
        <v>25</v>
      </c>
      <c r="AA306" s="3" t="s">
        <v>25</v>
      </c>
      <c r="AB306" s="3" t="str">
        <f>IF(crimenes_cordoba_ampliado[[#This Row],[Hubo Arresto]]="Sí", "Resuelto", "Pendiente")</f>
        <v>Pendiente</v>
      </c>
      <c r="AC306" s="3" t="s">
        <v>24</v>
      </c>
      <c r="AD306" s="3"/>
    </row>
    <row r="307" spans="1:30" x14ac:dyDescent="0.25">
      <c r="A307">
        <v>286</v>
      </c>
      <c r="B307" s="1">
        <v>42374</v>
      </c>
      <c r="C307" s="33">
        <f t="shared" si="8"/>
        <v>42374</v>
      </c>
      <c r="D307" s="34">
        <f t="shared" si="9"/>
        <v>42374</v>
      </c>
      <c r="E307" s="35" t="s">
        <v>1453</v>
      </c>
      <c r="F307" s="2">
        <v>0.79791666666666672</v>
      </c>
      <c r="G307" s="3" t="s">
        <v>48</v>
      </c>
      <c r="H307" s="3" t="s">
        <v>62</v>
      </c>
      <c r="I307" s="25" t="str">
        <f>VLOOKUP(H307,Tabla5[#All],4,FALSE)</f>
        <v>-31,3909520937826, -64,1836424491715</v>
      </c>
      <c r="J307" s="1">
        <v>29696</v>
      </c>
      <c r="K307" s="7">
        <f>INT((crimenes_cordoba_ampliado[[#This Row],[Fecha]]-crimenes_cordoba_ampliado[[#This Row],[Fecha Nac. Delincuente]])/365)</f>
        <v>34</v>
      </c>
      <c r="L307" s="7" t="str">
        <f>_xlfn.XLOOKUP(crimenes_cordoba_ampliado[[#This Row],[EDAD DELINCUENTE]],'Rango etareo'!$A$10:$A$25,'Rango etareo'!$B$10:$B$25,,-1)</f>
        <v>26 - 35</v>
      </c>
      <c r="M307" s="3" t="s">
        <v>21</v>
      </c>
      <c r="N307" s="3" t="str">
        <f>IF(crimenes_cordoba_ampliado[[#This Row],[Género Delincuente]]="Femenino","🚺","🚹")</f>
        <v>🚺</v>
      </c>
      <c r="O307">
        <v>4</v>
      </c>
      <c r="P307" s="1">
        <v>20947</v>
      </c>
      <c r="Q307" s="7">
        <f>INT((crimenes_cordoba_ampliado[[#This Row],[Fecha]]-crimenes_cordoba_ampliado[[#This Row],[Fecha Nac. Víctima]])/365)</f>
        <v>58</v>
      </c>
      <c r="R307" s="7" t="str">
        <f>_xlfn.XLOOKUP(crimenes_cordoba_ampliado[[#This Row],[EDAD VICTIMA]],'Rango etareo'!$A$2:$A$25,'Rango etareo'!$B$2:$B$25,,-1)</f>
        <v>56 - 65</v>
      </c>
      <c r="S307" s="3" t="s">
        <v>21</v>
      </c>
      <c r="T307" s="3" t="str">
        <f>IF(crimenes_cordoba_ampliado[[#This Row],[Género Víctima]]="Masculino","🚹","🚺")</f>
        <v>🚺</v>
      </c>
      <c r="U307">
        <v>1</v>
      </c>
      <c r="V307" s="3" t="s">
        <v>23</v>
      </c>
      <c r="W307" s="3" t="s">
        <v>24</v>
      </c>
      <c r="X307" s="3" t="s">
        <v>24</v>
      </c>
      <c r="Y307" s="3" t="s">
        <v>86</v>
      </c>
      <c r="Z307" s="3" t="s">
        <v>25</v>
      </c>
      <c r="AA307" s="3" t="s">
        <v>23</v>
      </c>
      <c r="AB307" s="3" t="str">
        <f>IF(crimenes_cordoba_ampliado[[#This Row],[Hubo Arresto]]="Sí", "Resuelto", "Pendiente")</f>
        <v>Resuelto</v>
      </c>
      <c r="AC307" s="3" t="s">
        <v>196</v>
      </c>
      <c r="AD307" s="3"/>
    </row>
    <row r="308" spans="1:30" x14ac:dyDescent="0.25">
      <c r="A308">
        <v>287</v>
      </c>
      <c r="B308" s="1">
        <v>43561</v>
      </c>
      <c r="C308" s="33">
        <f t="shared" si="8"/>
        <v>43561</v>
      </c>
      <c r="D308" s="34">
        <f t="shared" si="9"/>
        <v>43561</v>
      </c>
      <c r="E308" s="35" t="s">
        <v>1451</v>
      </c>
      <c r="F308" s="2">
        <v>0.5625</v>
      </c>
      <c r="G308" s="3" t="s">
        <v>35</v>
      </c>
      <c r="H308" s="3" t="s">
        <v>62</v>
      </c>
      <c r="I308" s="25" t="str">
        <f>VLOOKUP(H308,Tabla5[#All],4,FALSE)</f>
        <v>-31,3909520937826, -64,1836424491715</v>
      </c>
      <c r="J308" s="1">
        <v>24821</v>
      </c>
      <c r="K308" s="7">
        <f>INT((crimenes_cordoba_ampliado[[#This Row],[Fecha]]-crimenes_cordoba_ampliado[[#This Row],[Fecha Nac. Delincuente]])/365)</f>
        <v>51</v>
      </c>
      <c r="L308" s="7" t="str">
        <f>_xlfn.XLOOKUP(crimenes_cordoba_ampliado[[#This Row],[EDAD DELINCUENTE]],'Rango etareo'!$A$10:$A$25,'Rango etareo'!$B$10:$B$25,,-1)</f>
        <v>46 - 55</v>
      </c>
      <c r="M308" s="3" t="s">
        <v>22</v>
      </c>
      <c r="N308" s="3" t="str">
        <f>IF(crimenes_cordoba_ampliado[[#This Row],[Género Delincuente]]="Femenino","🚺","🚹")</f>
        <v>🚹</v>
      </c>
      <c r="O308">
        <v>1</v>
      </c>
      <c r="P308" s="1">
        <v>36352</v>
      </c>
      <c r="Q308" s="7">
        <f>INT((crimenes_cordoba_ampliado[[#This Row],[Fecha]]-crimenes_cordoba_ampliado[[#This Row],[Fecha Nac. Víctima]])/365)</f>
        <v>19</v>
      </c>
      <c r="R308" s="7" t="str">
        <f>_xlfn.XLOOKUP(crimenes_cordoba_ampliado[[#This Row],[EDAD VICTIMA]],'Rango etareo'!$A$2:$A$25,'Rango etareo'!$B$2:$B$25,,-1)</f>
        <v>18 - 25</v>
      </c>
      <c r="S308" s="3" t="s">
        <v>22</v>
      </c>
      <c r="T308" s="3" t="str">
        <f>IF(crimenes_cordoba_ampliado[[#This Row],[Género Víctima]]="Masculino","🚹","🚺")</f>
        <v>🚹</v>
      </c>
      <c r="U308">
        <v>3</v>
      </c>
      <c r="V308" s="3" t="s">
        <v>23</v>
      </c>
      <c r="W308" s="3" t="s">
        <v>24</v>
      </c>
      <c r="X308" s="3" t="s">
        <v>24</v>
      </c>
      <c r="Y308" s="3" t="s">
        <v>43</v>
      </c>
      <c r="Z308" s="3" t="s">
        <v>25</v>
      </c>
      <c r="AA308" s="3" t="s">
        <v>25</v>
      </c>
      <c r="AB308" s="3" t="str">
        <f>IF(crimenes_cordoba_ampliado[[#This Row],[Hubo Arresto]]="Sí", "Resuelto", "Pendiente")</f>
        <v>Resuelto</v>
      </c>
      <c r="AC308" s="3" t="s">
        <v>197</v>
      </c>
      <c r="AD308" s="3"/>
    </row>
    <row r="309" spans="1:30" x14ac:dyDescent="0.25">
      <c r="A309">
        <v>891</v>
      </c>
      <c r="B309" s="1">
        <v>43262</v>
      </c>
      <c r="C309" s="33">
        <f t="shared" si="8"/>
        <v>43262</v>
      </c>
      <c r="D309" s="34">
        <f t="shared" si="9"/>
        <v>43262</v>
      </c>
      <c r="E309" s="35" t="s">
        <v>1452</v>
      </c>
      <c r="F309" s="2">
        <v>0.77361111111111114</v>
      </c>
      <c r="G309" s="3" t="s">
        <v>79</v>
      </c>
      <c r="H309" s="3" t="s">
        <v>65</v>
      </c>
      <c r="I309" s="25" t="str">
        <f>VLOOKUP(H309,Tabla5[#All],4,FALSE)</f>
        <v>-31,4285567311661, -64,1853198281007</v>
      </c>
      <c r="J309" s="1">
        <v>20583</v>
      </c>
      <c r="K309" s="7">
        <f>INT((crimenes_cordoba_ampliado[[#This Row],[Fecha]]-crimenes_cordoba_ampliado[[#This Row],[Fecha Nac. Delincuente]])/365)</f>
        <v>62</v>
      </c>
      <c r="L309" s="7" t="str">
        <f>_xlfn.XLOOKUP(crimenes_cordoba_ampliado[[#This Row],[EDAD DELINCUENTE]],'Rango etareo'!$A$10:$A$25,'Rango etareo'!$B$10:$B$25,,-1)</f>
        <v>56 - 65</v>
      </c>
      <c r="M309" s="3" t="s">
        <v>21</v>
      </c>
      <c r="N309" s="3" t="str">
        <f>IF(crimenes_cordoba_ampliado[[#This Row],[Género Delincuente]]="Femenino","🚺","🚹")</f>
        <v>🚺</v>
      </c>
      <c r="O309">
        <v>5</v>
      </c>
      <c r="P309" s="1">
        <v>33037</v>
      </c>
      <c r="Q309" s="7">
        <f>INT((crimenes_cordoba_ampliado[[#This Row],[Fecha]]-crimenes_cordoba_ampliado[[#This Row],[Fecha Nac. Víctima]])/365)</f>
        <v>28</v>
      </c>
      <c r="R309" s="7" t="str">
        <f>_xlfn.XLOOKUP(crimenes_cordoba_ampliado[[#This Row],[EDAD VICTIMA]],'Rango etareo'!$A$2:$A$25,'Rango etareo'!$B$2:$B$25,,-1)</f>
        <v>26 - 35</v>
      </c>
      <c r="S309" s="3" t="s">
        <v>21</v>
      </c>
      <c r="T309" s="3" t="str">
        <f>IF(crimenes_cordoba_ampliado[[#This Row],[Género Víctima]]="Masculino","🚹","🚺")</f>
        <v>🚺</v>
      </c>
      <c r="U309">
        <v>1</v>
      </c>
      <c r="V309" s="3" t="s">
        <v>25</v>
      </c>
      <c r="W309" s="3" t="s">
        <v>24</v>
      </c>
      <c r="X309" s="3" t="s">
        <v>24</v>
      </c>
      <c r="Y309" s="3" t="s">
        <v>24</v>
      </c>
      <c r="Z309" s="3" t="s">
        <v>25</v>
      </c>
      <c r="AA309" s="3" t="s">
        <v>25</v>
      </c>
      <c r="AB309" s="3" t="str">
        <f>IF(crimenes_cordoba_ampliado[[#This Row],[Hubo Arresto]]="Sí", "Resuelto", "Pendiente")</f>
        <v>Pendiente</v>
      </c>
      <c r="AC309" s="3" t="s">
        <v>24</v>
      </c>
      <c r="AD309" s="3"/>
    </row>
    <row r="310" spans="1:30" x14ac:dyDescent="0.25">
      <c r="A310">
        <v>290</v>
      </c>
      <c r="B310" s="1">
        <v>45317</v>
      </c>
      <c r="C310" s="33">
        <f t="shared" si="8"/>
        <v>45317</v>
      </c>
      <c r="D310" s="34">
        <f t="shared" si="9"/>
        <v>45317</v>
      </c>
      <c r="E310" s="35" t="s">
        <v>1455</v>
      </c>
      <c r="F310" s="2">
        <v>0.18611111111111112</v>
      </c>
      <c r="G310" s="3" t="s">
        <v>79</v>
      </c>
      <c r="H310" s="3" t="s">
        <v>65</v>
      </c>
      <c r="I310" s="25" t="str">
        <f>VLOOKUP(H310,Tabla5[#All],4,FALSE)</f>
        <v>-31,4285567311661, -64,1853198281007</v>
      </c>
      <c r="J310" s="1">
        <v>32855</v>
      </c>
      <c r="K310" s="7">
        <f>INT((crimenes_cordoba_ampliado[[#This Row],[Fecha]]-crimenes_cordoba_ampliado[[#This Row],[Fecha Nac. Delincuente]])/365)</f>
        <v>34</v>
      </c>
      <c r="L310" s="7" t="str">
        <f>_xlfn.XLOOKUP(crimenes_cordoba_ampliado[[#This Row],[EDAD DELINCUENTE]],'Rango etareo'!$A$10:$A$25,'Rango etareo'!$B$10:$B$25,,-1)</f>
        <v>26 - 35</v>
      </c>
      <c r="M310" s="3" t="s">
        <v>22</v>
      </c>
      <c r="N310" s="3" t="str">
        <f>IF(crimenes_cordoba_ampliado[[#This Row],[Género Delincuente]]="Femenino","🚺","🚹")</f>
        <v>🚹</v>
      </c>
      <c r="O310">
        <v>1</v>
      </c>
      <c r="P310" s="1">
        <v>18388</v>
      </c>
      <c r="Q310" s="7">
        <f>INT((crimenes_cordoba_ampliado[[#This Row],[Fecha]]-crimenes_cordoba_ampliado[[#This Row],[Fecha Nac. Víctima]])/365)</f>
        <v>73</v>
      </c>
      <c r="R310" s="7" t="str">
        <f>_xlfn.XLOOKUP(crimenes_cordoba_ampliado[[#This Row],[EDAD VICTIMA]],'Rango etareo'!$A$2:$A$25,'Rango etareo'!$B$2:$B$25,,-1)</f>
        <v>&gt;65</v>
      </c>
      <c r="S310" s="3" t="s">
        <v>21</v>
      </c>
      <c r="T310" s="3" t="str">
        <f>IF(crimenes_cordoba_ampliado[[#This Row],[Género Víctima]]="Masculino","🚹","🚺")</f>
        <v>🚺</v>
      </c>
      <c r="U310">
        <v>3</v>
      </c>
      <c r="V310" s="3" t="s">
        <v>23</v>
      </c>
      <c r="W310" s="3" t="s">
        <v>24</v>
      </c>
      <c r="X310" s="3" t="s">
        <v>24</v>
      </c>
      <c r="Y310" s="3" t="s">
        <v>46</v>
      </c>
      <c r="Z310" s="3" t="s">
        <v>25</v>
      </c>
      <c r="AA310" s="3" t="s">
        <v>23</v>
      </c>
      <c r="AB310" s="3" t="str">
        <f>IF(crimenes_cordoba_ampliado[[#This Row],[Hubo Arresto]]="Sí", "Resuelto", "Pendiente")</f>
        <v>Resuelto</v>
      </c>
      <c r="AC310" s="3" t="s">
        <v>198</v>
      </c>
      <c r="AD310" s="3"/>
    </row>
    <row r="311" spans="1:30" x14ac:dyDescent="0.25">
      <c r="A311">
        <v>575</v>
      </c>
      <c r="B311" s="1">
        <v>43264</v>
      </c>
      <c r="C311" s="33">
        <f t="shared" si="8"/>
        <v>43264</v>
      </c>
      <c r="D311" s="34">
        <f t="shared" si="9"/>
        <v>43264</v>
      </c>
      <c r="E311" s="35" t="s">
        <v>1450</v>
      </c>
      <c r="F311" s="2">
        <v>0.51180555555555551</v>
      </c>
      <c r="G311" s="3" t="s">
        <v>19</v>
      </c>
      <c r="H311" s="3" t="s">
        <v>40</v>
      </c>
      <c r="I311" s="25" t="str">
        <f>VLOOKUP(H311,Tabla5[#All],4,FALSE)</f>
        <v>-31,334500143441, -64,2460773260564</v>
      </c>
      <c r="J311" s="1">
        <v>33331</v>
      </c>
      <c r="K311" s="7">
        <f>INT((crimenes_cordoba_ampliado[[#This Row],[Fecha]]-crimenes_cordoba_ampliado[[#This Row],[Fecha Nac. Delincuente]])/365)</f>
        <v>27</v>
      </c>
      <c r="L311" s="7" t="str">
        <f>_xlfn.XLOOKUP(crimenes_cordoba_ampliado[[#This Row],[EDAD DELINCUENTE]],'Rango etareo'!$A$10:$A$25,'Rango etareo'!$B$10:$B$25,,-1)</f>
        <v>26 - 35</v>
      </c>
      <c r="M311" s="3" t="s">
        <v>21</v>
      </c>
      <c r="N311" s="3" t="str">
        <f>IF(crimenes_cordoba_ampliado[[#This Row],[Género Delincuente]]="Femenino","🚺","🚹")</f>
        <v>🚺</v>
      </c>
      <c r="O311">
        <v>1</v>
      </c>
      <c r="P311" s="1">
        <v>39801</v>
      </c>
      <c r="Q311" s="7">
        <f>INT((crimenes_cordoba_ampliado[[#This Row],[Fecha]]-crimenes_cordoba_ampliado[[#This Row],[Fecha Nac. Víctima]])/365)</f>
        <v>9</v>
      </c>
      <c r="R311" s="7" t="str">
        <f>_xlfn.XLOOKUP(crimenes_cordoba_ampliado[[#This Row],[EDAD VICTIMA]],'Rango etareo'!$A$2:$A$25,'Rango etareo'!$B$2:$B$25,,-1)</f>
        <v>&lt;=17</v>
      </c>
      <c r="S311" s="3" t="s">
        <v>22</v>
      </c>
      <c r="T311" s="3" t="str">
        <f>IF(crimenes_cordoba_ampliado[[#This Row],[Género Víctima]]="Masculino","🚹","🚺")</f>
        <v>🚹</v>
      </c>
      <c r="U311">
        <v>3</v>
      </c>
      <c r="V311" s="3" t="s">
        <v>25</v>
      </c>
      <c r="W311" s="3" t="s">
        <v>24</v>
      </c>
      <c r="X311" s="3" t="s">
        <v>24</v>
      </c>
      <c r="Y311" s="3" t="s">
        <v>24</v>
      </c>
      <c r="Z311" s="3" t="s">
        <v>23</v>
      </c>
      <c r="AA311" s="3" t="s">
        <v>25</v>
      </c>
      <c r="AB311" s="3" t="str">
        <f>IF(crimenes_cordoba_ampliado[[#This Row],[Hubo Arresto]]="Sí", "Resuelto", "Pendiente")</f>
        <v>Pendiente</v>
      </c>
      <c r="AC311" s="3" t="s">
        <v>24</v>
      </c>
      <c r="AD311" s="3"/>
    </row>
    <row r="312" spans="1:30" x14ac:dyDescent="0.25">
      <c r="A312">
        <v>291</v>
      </c>
      <c r="B312" s="1">
        <v>45288</v>
      </c>
      <c r="C312" s="33">
        <f t="shared" si="8"/>
        <v>45288</v>
      </c>
      <c r="D312" s="34">
        <f t="shared" si="9"/>
        <v>45288</v>
      </c>
      <c r="E312" s="35" t="s">
        <v>1454</v>
      </c>
      <c r="F312" s="2">
        <v>0.26944444444444443</v>
      </c>
      <c r="G312" s="3" t="s">
        <v>79</v>
      </c>
      <c r="H312" s="3" t="s">
        <v>49</v>
      </c>
      <c r="I312" s="25" t="str">
        <f>VLOOKUP(H312,Tabla5[#All],4,FALSE)</f>
        <v>-31,4506257494184, -64,1733054344705</v>
      </c>
      <c r="J312" s="1">
        <v>38054</v>
      </c>
      <c r="K312" s="7">
        <f>INT((crimenes_cordoba_ampliado[[#This Row],[Fecha]]-crimenes_cordoba_ampliado[[#This Row],[Fecha Nac. Delincuente]])/365)</f>
        <v>19</v>
      </c>
      <c r="L312" s="7" t="str">
        <f>_xlfn.XLOOKUP(crimenes_cordoba_ampliado[[#This Row],[EDAD DELINCUENTE]],'Rango etareo'!$A$10:$A$25,'Rango etareo'!$B$10:$B$25,,-1)</f>
        <v>18 - 25</v>
      </c>
      <c r="M312" s="3" t="s">
        <v>22</v>
      </c>
      <c r="N312" s="3" t="str">
        <f>IF(crimenes_cordoba_ampliado[[#This Row],[Género Delincuente]]="Femenino","🚺","🚹")</f>
        <v>🚹</v>
      </c>
      <c r="O312">
        <v>3</v>
      </c>
      <c r="P312" s="1">
        <v>29428</v>
      </c>
      <c r="Q312" s="7">
        <f>INT((crimenes_cordoba_ampliado[[#This Row],[Fecha]]-crimenes_cordoba_ampliado[[#This Row],[Fecha Nac. Víctima]])/365)</f>
        <v>43</v>
      </c>
      <c r="R312" s="7" t="str">
        <f>_xlfn.XLOOKUP(crimenes_cordoba_ampliado[[#This Row],[EDAD VICTIMA]],'Rango etareo'!$A$2:$A$25,'Rango etareo'!$B$2:$B$25,,-1)</f>
        <v>36 - 45</v>
      </c>
      <c r="S312" s="3" t="s">
        <v>21</v>
      </c>
      <c r="T312" s="3" t="str">
        <f>IF(crimenes_cordoba_ampliado[[#This Row],[Género Víctima]]="Masculino","🚹","🚺")</f>
        <v>🚺</v>
      </c>
      <c r="U312">
        <v>3</v>
      </c>
      <c r="V312" s="3" t="s">
        <v>23</v>
      </c>
      <c r="W312" s="3" t="s">
        <v>24</v>
      </c>
      <c r="X312" s="3" t="s">
        <v>50</v>
      </c>
      <c r="Y312" s="3" t="s">
        <v>24</v>
      </c>
      <c r="Z312" s="3" t="s">
        <v>25</v>
      </c>
      <c r="AA312" s="3" t="s">
        <v>25</v>
      </c>
      <c r="AB312" s="3" t="str">
        <f>IF(crimenes_cordoba_ampliado[[#This Row],[Hubo Arresto]]="Sí", "Resuelto", "Pendiente")</f>
        <v>Resuelto</v>
      </c>
      <c r="AC312" s="3" t="s">
        <v>199</v>
      </c>
      <c r="AD312" s="3"/>
    </row>
    <row r="313" spans="1:30" x14ac:dyDescent="0.25">
      <c r="A313">
        <v>446</v>
      </c>
      <c r="B313" s="1">
        <v>43269</v>
      </c>
      <c r="C313" s="33">
        <f t="shared" si="8"/>
        <v>43269</v>
      </c>
      <c r="D313" s="34">
        <f t="shared" si="9"/>
        <v>43269</v>
      </c>
      <c r="E313" s="35" t="s">
        <v>1452</v>
      </c>
      <c r="F313" s="2">
        <v>0.12430555555555556</v>
      </c>
      <c r="G313" s="3" t="s">
        <v>81</v>
      </c>
      <c r="H313" s="3" t="s">
        <v>70</v>
      </c>
      <c r="I313" s="25" t="str">
        <f>VLOOKUP(H313,Tabla5[#All],4,FALSE)</f>
        <v>-31,3759272890294, -64,2284587792478</v>
      </c>
      <c r="J313" s="1">
        <v>20981</v>
      </c>
      <c r="K313" s="7">
        <f>INT((crimenes_cordoba_ampliado[[#This Row],[Fecha]]-crimenes_cordoba_ampliado[[#This Row],[Fecha Nac. Delincuente]])/365)</f>
        <v>61</v>
      </c>
      <c r="L313" s="7" t="str">
        <f>_xlfn.XLOOKUP(crimenes_cordoba_ampliado[[#This Row],[EDAD DELINCUENTE]],'Rango etareo'!$A$10:$A$25,'Rango etareo'!$B$10:$B$25,,-1)</f>
        <v>56 - 65</v>
      </c>
      <c r="M313" s="3" t="s">
        <v>22</v>
      </c>
      <c r="N313" s="3" t="str">
        <f>IF(crimenes_cordoba_ampliado[[#This Row],[Género Delincuente]]="Femenino","🚺","🚹")</f>
        <v>🚹</v>
      </c>
      <c r="O313">
        <v>3</v>
      </c>
      <c r="P313" s="1">
        <v>17023</v>
      </c>
      <c r="Q313" s="7">
        <f>INT((crimenes_cordoba_ampliado[[#This Row],[Fecha]]-crimenes_cordoba_ampliado[[#This Row],[Fecha Nac. Víctima]])/365)</f>
        <v>71</v>
      </c>
      <c r="R313" s="7" t="str">
        <f>_xlfn.XLOOKUP(crimenes_cordoba_ampliado[[#This Row],[EDAD VICTIMA]],'Rango etareo'!$A$2:$A$25,'Rango etareo'!$B$2:$B$25,,-1)</f>
        <v>&gt;65</v>
      </c>
      <c r="S313" s="3" t="s">
        <v>21</v>
      </c>
      <c r="T313" s="3" t="str">
        <f>IF(crimenes_cordoba_ampliado[[#This Row],[Género Víctima]]="Masculino","🚹","🚺")</f>
        <v>🚺</v>
      </c>
      <c r="U313">
        <v>2</v>
      </c>
      <c r="V313" s="3" t="s">
        <v>25</v>
      </c>
      <c r="W313" s="3" t="s">
        <v>24</v>
      </c>
      <c r="X313" s="3" t="s">
        <v>24</v>
      </c>
      <c r="Y313" s="3" t="s">
        <v>24</v>
      </c>
      <c r="Z313" s="3" t="s">
        <v>23</v>
      </c>
      <c r="AA313" s="3" t="s">
        <v>23</v>
      </c>
      <c r="AB313" s="3" t="str">
        <f>IF(crimenes_cordoba_ampliado[[#This Row],[Hubo Arresto]]="Sí", "Resuelto", "Pendiente")</f>
        <v>Pendiente</v>
      </c>
      <c r="AC313" s="3" t="s">
        <v>24</v>
      </c>
      <c r="AD313" s="3"/>
    </row>
    <row r="314" spans="1:30" x14ac:dyDescent="0.25">
      <c r="A314">
        <v>293</v>
      </c>
      <c r="B314" s="1">
        <v>44338</v>
      </c>
      <c r="C314" s="33">
        <f t="shared" si="8"/>
        <v>44338</v>
      </c>
      <c r="D314" s="34">
        <f t="shared" si="9"/>
        <v>44338</v>
      </c>
      <c r="E314" s="35" t="s">
        <v>1451</v>
      </c>
      <c r="F314" s="2">
        <v>0.53194444444444444</v>
      </c>
      <c r="G314" s="3" t="s">
        <v>38</v>
      </c>
      <c r="H314" s="3" t="s">
        <v>62</v>
      </c>
      <c r="I314" s="25" t="str">
        <f>VLOOKUP(H314,Tabla5[#All],4,FALSE)</f>
        <v>-31,3909520937826, -64,1836424491715</v>
      </c>
      <c r="J314" s="1">
        <v>19635</v>
      </c>
      <c r="K314" s="7">
        <f>INT((crimenes_cordoba_ampliado[[#This Row],[Fecha]]-crimenes_cordoba_ampliado[[#This Row],[Fecha Nac. Delincuente]])/365)</f>
        <v>67</v>
      </c>
      <c r="L314" s="7" t="str">
        <f>_xlfn.XLOOKUP(crimenes_cordoba_ampliado[[#This Row],[EDAD DELINCUENTE]],'Rango etareo'!$A$10:$A$25,'Rango etareo'!$B$10:$B$25,,-1)</f>
        <v>&gt;65</v>
      </c>
      <c r="M314" s="3" t="s">
        <v>22</v>
      </c>
      <c r="N314" s="3" t="str">
        <f>IF(crimenes_cordoba_ampliado[[#This Row],[Género Delincuente]]="Femenino","🚺","🚹")</f>
        <v>🚹</v>
      </c>
      <c r="O314">
        <v>1</v>
      </c>
      <c r="P314" s="1">
        <v>30987</v>
      </c>
      <c r="Q314" s="7">
        <f>INT((crimenes_cordoba_ampliado[[#This Row],[Fecha]]-crimenes_cordoba_ampliado[[#This Row],[Fecha Nac. Víctima]])/365)</f>
        <v>36</v>
      </c>
      <c r="R314" s="7" t="str">
        <f>_xlfn.XLOOKUP(crimenes_cordoba_ampliado[[#This Row],[EDAD VICTIMA]],'Rango etareo'!$A$2:$A$25,'Rango etareo'!$B$2:$B$25,,-1)</f>
        <v>36 - 45</v>
      </c>
      <c r="S314" s="3" t="s">
        <v>22</v>
      </c>
      <c r="T314" s="3" t="str">
        <f>IF(crimenes_cordoba_ampliado[[#This Row],[Género Víctima]]="Masculino","🚹","🚺")</f>
        <v>🚹</v>
      </c>
      <c r="U314">
        <v>1</v>
      </c>
      <c r="V314" s="3" t="s">
        <v>23</v>
      </c>
      <c r="W314" s="3" t="s">
        <v>24</v>
      </c>
      <c r="X314" s="3" t="s">
        <v>24</v>
      </c>
      <c r="Y314" s="3" t="s">
        <v>106</v>
      </c>
      <c r="Z314" s="3" t="s">
        <v>23</v>
      </c>
      <c r="AA314" s="3" t="s">
        <v>25</v>
      </c>
      <c r="AB314" s="3" t="str">
        <f>IF(crimenes_cordoba_ampliado[[#This Row],[Hubo Arresto]]="Sí", "Resuelto", "Pendiente")</f>
        <v>Resuelto</v>
      </c>
      <c r="AC314" s="3" t="s">
        <v>136</v>
      </c>
      <c r="AD314" s="3"/>
    </row>
    <row r="315" spans="1:30" x14ac:dyDescent="0.25">
      <c r="A315">
        <v>294</v>
      </c>
      <c r="B315" s="1">
        <v>44495</v>
      </c>
      <c r="C315" s="33">
        <f t="shared" si="8"/>
        <v>44495</v>
      </c>
      <c r="D315" s="34">
        <f t="shared" si="9"/>
        <v>44495</v>
      </c>
      <c r="E315" s="35" t="s">
        <v>1453</v>
      </c>
      <c r="F315" s="2">
        <v>0.93472222222222223</v>
      </c>
      <c r="G315" s="3" t="s">
        <v>19</v>
      </c>
      <c r="H315" s="3" t="s">
        <v>20</v>
      </c>
      <c r="I315" s="25" t="str">
        <f>VLOOKUP(H315,Tabla5[#All],4,FALSE)</f>
        <v>-31,4800162965848, -64,2094200976892</v>
      </c>
      <c r="J315" s="1">
        <v>20889</v>
      </c>
      <c r="K315" s="7">
        <f>INT((crimenes_cordoba_ampliado[[#This Row],[Fecha]]-crimenes_cordoba_ampliado[[#This Row],[Fecha Nac. Delincuente]])/365)</f>
        <v>64</v>
      </c>
      <c r="L315" s="7" t="str">
        <f>_xlfn.XLOOKUP(crimenes_cordoba_ampliado[[#This Row],[EDAD DELINCUENTE]],'Rango etareo'!$A$10:$A$25,'Rango etareo'!$B$10:$B$25,,-1)</f>
        <v>56 - 65</v>
      </c>
      <c r="M315" s="3" t="s">
        <v>22</v>
      </c>
      <c r="N315" s="3" t="str">
        <f>IF(crimenes_cordoba_ampliado[[#This Row],[Género Delincuente]]="Femenino","🚺","🚹")</f>
        <v>🚹</v>
      </c>
      <c r="O315">
        <v>3</v>
      </c>
      <c r="P315" s="1">
        <v>23211</v>
      </c>
      <c r="Q315" s="7">
        <f>INT((crimenes_cordoba_ampliado[[#This Row],[Fecha]]-crimenes_cordoba_ampliado[[#This Row],[Fecha Nac. Víctima]])/365)</f>
        <v>58</v>
      </c>
      <c r="R315" s="7" t="str">
        <f>_xlfn.XLOOKUP(crimenes_cordoba_ampliado[[#This Row],[EDAD VICTIMA]],'Rango etareo'!$A$2:$A$25,'Rango etareo'!$B$2:$B$25,,-1)</f>
        <v>56 - 65</v>
      </c>
      <c r="S315" s="3" t="s">
        <v>22</v>
      </c>
      <c r="T315" s="3" t="str">
        <f>IF(crimenes_cordoba_ampliado[[#This Row],[Género Víctima]]="Masculino","🚹","🚺")</f>
        <v>🚹</v>
      </c>
      <c r="U315">
        <v>1</v>
      </c>
      <c r="V315" s="3" t="s">
        <v>23</v>
      </c>
      <c r="W315" s="3" t="s">
        <v>83</v>
      </c>
      <c r="X315" s="3" t="s">
        <v>24</v>
      </c>
      <c r="Y315" s="3" t="s">
        <v>77</v>
      </c>
      <c r="Z315" s="3" t="s">
        <v>25</v>
      </c>
      <c r="AA315" s="3" t="s">
        <v>25</v>
      </c>
      <c r="AB315" s="3" t="str">
        <f>IF(crimenes_cordoba_ampliado[[#This Row],[Hubo Arresto]]="Sí", "Resuelto", "Pendiente")</f>
        <v>Resuelto</v>
      </c>
      <c r="AC315" s="3" t="s">
        <v>200</v>
      </c>
      <c r="AD315" s="3"/>
    </row>
    <row r="316" spans="1:30" x14ac:dyDescent="0.25">
      <c r="A316">
        <v>297</v>
      </c>
      <c r="B316" s="1">
        <v>43948</v>
      </c>
      <c r="C316" s="33">
        <f t="shared" si="8"/>
        <v>43948</v>
      </c>
      <c r="D316" s="34">
        <f t="shared" si="9"/>
        <v>43948</v>
      </c>
      <c r="E316" s="35" t="s">
        <v>1452</v>
      </c>
      <c r="F316" s="2">
        <v>0.66597222222222219</v>
      </c>
      <c r="G316" s="3" t="s">
        <v>48</v>
      </c>
      <c r="H316" s="3" t="s">
        <v>55</v>
      </c>
      <c r="I316" s="25" t="str">
        <f>VLOOKUP(H316,Tabla5[#All],4,FALSE)</f>
        <v>-31,4015892433235, -64,160442876477</v>
      </c>
      <c r="J316" s="1">
        <v>18272</v>
      </c>
      <c r="K316" s="7">
        <f>INT((crimenes_cordoba_ampliado[[#This Row],[Fecha]]-crimenes_cordoba_ampliado[[#This Row],[Fecha Nac. Delincuente]])/365)</f>
        <v>70</v>
      </c>
      <c r="L316" s="7" t="str">
        <f>_xlfn.XLOOKUP(crimenes_cordoba_ampliado[[#This Row],[EDAD DELINCUENTE]],'Rango etareo'!$A$10:$A$25,'Rango etareo'!$B$10:$B$25,,-1)</f>
        <v>&gt;65</v>
      </c>
      <c r="M316" s="3" t="s">
        <v>21</v>
      </c>
      <c r="N316" s="3" t="str">
        <f>IF(crimenes_cordoba_ampliado[[#This Row],[Género Delincuente]]="Femenino","🚺","🚹")</f>
        <v>🚺</v>
      </c>
      <c r="O316">
        <v>2</v>
      </c>
      <c r="P316" s="1">
        <v>26072</v>
      </c>
      <c r="Q316" s="7">
        <f>INT((crimenes_cordoba_ampliado[[#This Row],[Fecha]]-crimenes_cordoba_ampliado[[#This Row],[Fecha Nac. Víctima]])/365)</f>
        <v>48</v>
      </c>
      <c r="R316" s="7" t="str">
        <f>_xlfn.XLOOKUP(crimenes_cordoba_ampliado[[#This Row],[EDAD VICTIMA]],'Rango etareo'!$A$2:$A$25,'Rango etareo'!$B$2:$B$25,,-1)</f>
        <v>46 - 55</v>
      </c>
      <c r="S316" s="3" t="s">
        <v>22</v>
      </c>
      <c r="T316" s="3" t="str">
        <f>IF(crimenes_cordoba_ampliado[[#This Row],[Género Víctima]]="Masculino","🚹","🚺")</f>
        <v>🚹</v>
      </c>
      <c r="U316">
        <v>2</v>
      </c>
      <c r="V316" s="3" t="s">
        <v>23</v>
      </c>
      <c r="W316" s="3" t="s">
        <v>24</v>
      </c>
      <c r="X316" s="3" t="s">
        <v>24</v>
      </c>
      <c r="Y316" s="3" t="s">
        <v>39</v>
      </c>
      <c r="Z316" s="3" t="s">
        <v>23</v>
      </c>
      <c r="AA316" s="3" t="s">
        <v>23</v>
      </c>
      <c r="AB316" s="3" t="str">
        <f>IF(crimenes_cordoba_ampliado[[#This Row],[Hubo Arresto]]="Sí", "Resuelto", "Pendiente")</f>
        <v>Resuelto</v>
      </c>
      <c r="AC316" s="3" t="s">
        <v>201</v>
      </c>
      <c r="AD316" s="3"/>
    </row>
    <row r="317" spans="1:30" x14ac:dyDescent="0.25">
      <c r="A317">
        <v>298</v>
      </c>
      <c r="B317" s="1">
        <v>44201</v>
      </c>
      <c r="C317" s="33">
        <f t="shared" si="8"/>
        <v>44201</v>
      </c>
      <c r="D317" s="34">
        <f t="shared" si="9"/>
        <v>44201</v>
      </c>
      <c r="E317" s="35" t="s">
        <v>1453</v>
      </c>
      <c r="F317" s="2">
        <v>0.66666666666666663</v>
      </c>
      <c r="G317" s="3" t="s">
        <v>48</v>
      </c>
      <c r="H317" s="3" t="s">
        <v>52</v>
      </c>
      <c r="I317" s="25" t="str">
        <f>VLOOKUP(H317,Tabla5[#All],4,FALSE)</f>
        <v>-31,3477902896523, -64,2644406169297</v>
      </c>
      <c r="J317" s="1">
        <v>29620</v>
      </c>
      <c r="K317" s="7">
        <f>INT((crimenes_cordoba_ampliado[[#This Row],[Fecha]]-crimenes_cordoba_ampliado[[#This Row],[Fecha Nac. Delincuente]])/365)</f>
        <v>39</v>
      </c>
      <c r="L317" s="7" t="str">
        <f>_xlfn.XLOOKUP(crimenes_cordoba_ampliado[[#This Row],[EDAD DELINCUENTE]],'Rango etareo'!$A$10:$A$25,'Rango etareo'!$B$10:$B$25,,-1)</f>
        <v>36 - 45</v>
      </c>
      <c r="M317" s="3" t="s">
        <v>22</v>
      </c>
      <c r="N317" s="3" t="str">
        <f>IF(crimenes_cordoba_ampliado[[#This Row],[Género Delincuente]]="Femenino","🚺","🚹")</f>
        <v>🚹</v>
      </c>
      <c r="O317">
        <v>4</v>
      </c>
      <c r="P317" s="1">
        <v>17618</v>
      </c>
      <c r="Q317" s="7">
        <f>INT((crimenes_cordoba_ampliado[[#This Row],[Fecha]]-crimenes_cordoba_ampliado[[#This Row],[Fecha Nac. Víctima]])/365)</f>
        <v>72</v>
      </c>
      <c r="R317" s="7" t="str">
        <f>_xlfn.XLOOKUP(crimenes_cordoba_ampliado[[#This Row],[EDAD VICTIMA]],'Rango etareo'!$A$2:$A$25,'Rango etareo'!$B$2:$B$25,,-1)</f>
        <v>&gt;65</v>
      </c>
      <c r="S317" s="3" t="s">
        <v>21</v>
      </c>
      <c r="T317" s="3" t="str">
        <f>IF(crimenes_cordoba_ampliado[[#This Row],[Género Víctima]]="Masculino","🚹","🚺")</f>
        <v>🚺</v>
      </c>
      <c r="U317">
        <v>3</v>
      </c>
      <c r="V317" s="3" t="s">
        <v>23</v>
      </c>
      <c r="W317" s="3" t="s">
        <v>24</v>
      </c>
      <c r="X317" s="3" t="s">
        <v>24</v>
      </c>
      <c r="Y317" s="3" t="s">
        <v>89</v>
      </c>
      <c r="Z317" s="3" t="s">
        <v>25</v>
      </c>
      <c r="AA317" s="3" t="s">
        <v>25</v>
      </c>
      <c r="AB317" s="3" t="str">
        <f>IF(crimenes_cordoba_ampliado[[#This Row],[Hubo Arresto]]="Sí", "Resuelto", "Pendiente")</f>
        <v>Resuelto</v>
      </c>
      <c r="AC317" s="3" t="s">
        <v>202</v>
      </c>
      <c r="AD317" s="3"/>
    </row>
    <row r="318" spans="1:30" x14ac:dyDescent="0.25">
      <c r="A318">
        <v>121</v>
      </c>
      <c r="B318" s="1">
        <v>43304</v>
      </c>
      <c r="C318" s="33">
        <f t="shared" si="8"/>
        <v>43304</v>
      </c>
      <c r="D318" s="34">
        <f t="shared" si="9"/>
        <v>43304</v>
      </c>
      <c r="E318" s="35" t="s">
        <v>1452</v>
      </c>
      <c r="F318" s="2">
        <v>0.72847222222222219</v>
      </c>
      <c r="G318" s="3" t="s">
        <v>27</v>
      </c>
      <c r="H318" s="3" t="s">
        <v>70</v>
      </c>
      <c r="I318" s="25" t="str">
        <f>VLOOKUP(H318,Tabla5[#All],4,FALSE)</f>
        <v>-31,3759272890294, -64,2284587792478</v>
      </c>
      <c r="J318" s="1">
        <v>22316</v>
      </c>
      <c r="K318" s="7">
        <f>INT((crimenes_cordoba_ampliado[[#This Row],[Fecha]]-crimenes_cordoba_ampliado[[#This Row],[Fecha Nac. Delincuente]])/365)</f>
        <v>57</v>
      </c>
      <c r="L318" s="7" t="str">
        <f>_xlfn.XLOOKUP(crimenes_cordoba_ampliado[[#This Row],[EDAD DELINCUENTE]],'Rango etareo'!$A$10:$A$25,'Rango etareo'!$B$10:$B$25,,-1)</f>
        <v>56 - 65</v>
      </c>
      <c r="M318" s="3" t="s">
        <v>21</v>
      </c>
      <c r="N318" s="3" t="str">
        <f>IF(crimenes_cordoba_ampliado[[#This Row],[Género Delincuente]]="Femenino","🚺","🚹")</f>
        <v>🚺</v>
      </c>
      <c r="O318">
        <v>1</v>
      </c>
      <c r="P318" s="1">
        <v>40850</v>
      </c>
      <c r="Q318" s="7">
        <f>INT((crimenes_cordoba_ampliado[[#This Row],[Fecha]]-crimenes_cordoba_ampliado[[#This Row],[Fecha Nac. Víctima]])/365)</f>
        <v>6</v>
      </c>
      <c r="R318" s="7" t="str">
        <f>_xlfn.XLOOKUP(crimenes_cordoba_ampliado[[#This Row],[EDAD VICTIMA]],'Rango etareo'!$A$2:$A$25,'Rango etareo'!$B$2:$B$25,,-1)</f>
        <v>&lt;=17</v>
      </c>
      <c r="S318" s="3" t="s">
        <v>22</v>
      </c>
      <c r="T318" s="3" t="str">
        <f>IF(crimenes_cordoba_ampliado[[#This Row],[Género Víctima]]="Masculino","🚹","🚺")</f>
        <v>🚹</v>
      </c>
      <c r="U318">
        <v>3</v>
      </c>
      <c r="V318" s="3" t="s">
        <v>25</v>
      </c>
      <c r="W318" s="3" t="s">
        <v>24</v>
      </c>
      <c r="X318" s="3" t="s">
        <v>24</v>
      </c>
      <c r="Y318" s="3" t="s">
        <v>89</v>
      </c>
      <c r="Z318" s="3" t="s">
        <v>25</v>
      </c>
      <c r="AA318" s="3" t="s">
        <v>23</v>
      </c>
      <c r="AB318" s="3" t="str">
        <f>IF(crimenes_cordoba_ampliado[[#This Row],[Hubo Arresto]]="Sí", "Resuelto", "Pendiente")</f>
        <v>Pendiente</v>
      </c>
      <c r="AC318" s="3" t="s">
        <v>24</v>
      </c>
      <c r="AD318" s="3"/>
    </row>
    <row r="319" spans="1:30" x14ac:dyDescent="0.25">
      <c r="A319">
        <v>299</v>
      </c>
      <c r="B319" s="1">
        <v>43772</v>
      </c>
      <c r="C319" s="33">
        <f t="shared" si="8"/>
        <v>43772</v>
      </c>
      <c r="D319" s="34">
        <f t="shared" si="9"/>
        <v>43772</v>
      </c>
      <c r="E319" s="35" t="s">
        <v>1449</v>
      </c>
      <c r="F319" s="2">
        <v>0.97569444444444442</v>
      </c>
      <c r="G319" s="3" t="s">
        <v>79</v>
      </c>
      <c r="H319" s="3" t="s">
        <v>28</v>
      </c>
      <c r="I319" s="25" t="str">
        <f>VLOOKUP(H319,Tabla5[#All],4,FALSE)</f>
        <v>-31,4129883640337, -64,1681120522587</v>
      </c>
      <c r="J319" s="1">
        <v>30656</v>
      </c>
      <c r="K319" s="7">
        <f>INT((crimenes_cordoba_ampliado[[#This Row],[Fecha]]-crimenes_cordoba_ampliado[[#This Row],[Fecha Nac. Delincuente]])/365)</f>
        <v>35</v>
      </c>
      <c r="L319" s="7" t="str">
        <f>_xlfn.XLOOKUP(crimenes_cordoba_ampliado[[#This Row],[EDAD DELINCUENTE]],'Rango etareo'!$A$10:$A$25,'Rango etareo'!$B$10:$B$25,,-1)</f>
        <v>26 - 35</v>
      </c>
      <c r="M319" s="3" t="s">
        <v>21</v>
      </c>
      <c r="N319" s="3" t="str">
        <f>IF(crimenes_cordoba_ampliado[[#This Row],[Género Delincuente]]="Femenino","🚺","🚹")</f>
        <v>🚺</v>
      </c>
      <c r="O319">
        <v>1</v>
      </c>
      <c r="P319" s="1">
        <v>32362</v>
      </c>
      <c r="Q319" s="7">
        <f>INT((crimenes_cordoba_ampliado[[#This Row],[Fecha]]-crimenes_cordoba_ampliado[[#This Row],[Fecha Nac. Víctima]])/365)</f>
        <v>31</v>
      </c>
      <c r="R319" s="7" t="str">
        <f>_xlfn.XLOOKUP(crimenes_cordoba_ampliado[[#This Row],[EDAD VICTIMA]],'Rango etareo'!$A$2:$A$25,'Rango etareo'!$B$2:$B$25,,-1)</f>
        <v>26 - 35</v>
      </c>
      <c r="S319" s="3" t="s">
        <v>21</v>
      </c>
      <c r="T319" s="3" t="str">
        <f>IF(crimenes_cordoba_ampliado[[#This Row],[Género Víctima]]="Masculino","🚹","🚺")</f>
        <v>🚺</v>
      </c>
      <c r="U319">
        <v>1</v>
      </c>
      <c r="V319" s="3" t="s">
        <v>23</v>
      </c>
      <c r="W319" s="3" t="s">
        <v>24</v>
      </c>
      <c r="X319" s="3" t="s">
        <v>29</v>
      </c>
      <c r="Y319" s="3" t="s">
        <v>24</v>
      </c>
      <c r="Z319" s="3" t="s">
        <v>23</v>
      </c>
      <c r="AA319" s="3" t="s">
        <v>23</v>
      </c>
      <c r="AB319" s="3" t="str">
        <f>IF(crimenes_cordoba_ampliado[[#This Row],[Hubo Arresto]]="Sí", "Resuelto", "Pendiente")</f>
        <v>Resuelto</v>
      </c>
      <c r="AC319" s="3" t="s">
        <v>104</v>
      </c>
      <c r="AD319" s="3"/>
    </row>
    <row r="320" spans="1:30" x14ac:dyDescent="0.25">
      <c r="A320">
        <v>300</v>
      </c>
      <c r="B320" s="1">
        <v>45370</v>
      </c>
      <c r="C320" s="33">
        <f t="shared" si="8"/>
        <v>45370</v>
      </c>
      <c r="D320" s="34">
        <f t="shared" si="9"/>
        <v>45370</v>
      </c>
      <c r="E320" s="35" t="s">
        <v>1453</v>
      </c>
      <c r="F320" s="2">
        <v>0.98055555555555551</v>
      </c>
      <c r="G320" s="3" t="s">
        <v>19</v>
      </c>
      <c r="H320" s="3" t="s">
        <v>60</v>
      </c>
      <c r="I320" s="25" t="str">
        <f>VLOOKUP(H320,Tabla5[#All],4,FALSE)</f>
        <v>-31,4076397196409, -64,2020170430678</v>
      </c>
      <c r="J320" s="1">
        <v>26353</v>
      </c>
      <c r="K320" s="7">
        <f>INT((crimenes_cordoba_ampliado[[#This Row],[Fecha]]-crimenes_cordoba_ampliado[[#This Row],[Fecha Nac. Delincuente]])/365)</f>
        <v>52</v>
      </c>
      <c r="L320" s="7" t="str">
        <f>_xlfn.XLOOKUP(crimenes_cordoba_ampliado[[#This Row],[EDAD DELINCUENTE]],'Rango etareo'!$A$10:$A$25,'Rango etareo'!$B$10:$B$25,,-1)</f>
        <v>46 - 55</v>
      </c>
      <c r="M320" s="3" t="s">
        <v>21</v>
      </c>
      <c r="N320" s="3" t="str">
        <f>IF(crimenes_cordoba_ampliado[[#This Row],[Género Delincuente]]="Femenino","🚺","🚹")</f>
        <v>🚺</v>
      </c>
      <c r="O320">
        <v>4</v>
      </c>
      <c r="P320" s="1">
        <v>16884</v>
      </c>
      <c r="Q320" s="7">
        <f>INT((crimenes_cordoba_ampliado[[#This Row],[Fecha]]-crimenes_cordoba_ampliado[[#This Row],[Fecha Nac. Víctima]])/365)</f>
        <v>78</v>
      </c>
      <c r="R320" s="7" t="str">
        <f>_xlfn.XLOOKUP(crimenes_cordoba_ampliado[[#This Row],[EDAD VICTIMA]],'Rango etareo'!$A$2:$A$25,'Rango etareo'!$B$2:$B$25,,-1)</f>
        <v>&gt;65</v>
      </c>
      <c r="S320" s="3" t="s">
        <v>21</v>
      </c>
      <c r="T320" s="3" t="str">
        <f>IF(crimenes_cordoba_ampliado[[#This Row],[Género Víctima]]="Masculino","🚹","🚺")</f>
        <v>🚺</v>
      </c>
      <c r="U320">
        <v>2</v>
      </c>
      <c r="V320" s="3" t="s">
        <v>23</v>
      </c>
      <c r="W320" s="3" t="s">
        <v>83</v>
      </c>
      <c r="X320" s="3" t="s">
        <v>29</v>
      </c>
      <c r="Y320" s="3" t="s">
        <v>24</v>
      </c>
      <c r="Z320" s="3" t="s">
        <v>25</v>
      </c>
      <c r="AA320" s="3" t="s">
        <v>23</v>
      </c>
      <c r="AB320" s="3" t="str">
        <f>IF(crimenes_cordoba_ampliado[[#This Row],[Hubo Arresto]]="Sí", "Resuelto", "Pendiente")</f>
        <v>Resuelto</v>
      </c>
      <c r="AC320" s="3" t="s">
        <v>203</v>
      </c>
      <c r="AD320" s="3"/>
    </row>
    <row r="321" spans="1:30" x14ac:dyDescent="0.25">
      <c r="A321">
        <v>996</v>
      </c>
      <c r="B321" s="1">
        <v>43310</v>
      </c>
      <c r="C321" s="33">
        <f t="shared" si="8"/>
        <v>43310</v>
      </c>
      <c r="D321" s="34">
        <f t="shared" si="9"/>
        <v>43310</v>
      </c>
      <c r="E321" s="35" t="s">
        <v>1449</v>
      </c>
      <c r="F321" s="2">
        <v>0.70416666666666672</v>
      </c>
      <c r="G321" s="3" t="s">
        <v>27</v>
      </c>
      <c r="H321" s="3" t="s">
        <v>62</v>
      </c>
      <c r="I321" s="25" t="str">
        <f>VLOOKUP(H321,Tabla5[#All],4,FALSE)</f>
        <v>-31,3909520937826, -64,1836424491715</v>
      </c>
      <c r="J321" s="1">
        <v>23446</v>
      </c>
      <c r="K321" s="7">
        <f>INT((crimenes_cordoba_ampliado[[#This Row],[Fecha]]-crimenes_cordoba_ampliado[[#This Row],[Fecha Nac. Delincuente]])/365)</f>
        <v>54</v>
      </c>
      <c r="L321" s="7" t="str">
        <f>_xlfn.XLOOKUP(crimenes_cordoba_ampliado[[#This Row],[EDAD DELINCUENTE]],'Rango etareo'!$A$10:$A$25,'Rango etareo'!$B$10:$B$25,,-1)</f>
        <v>46 - 55</v>
      </c>
      <c r="M321" s="3" t="s">
        <v>22</v>
      </c>
      <c r="N321" s="3" t="str">
        <f>IF(crimenes_cordoba_ampliado[[#This Row],[Género Delincuente]]="Femenino","🚺","🚹")</f>
        <v>🚹</v>
      </c>
      <c r="O321">
        <v>2</v>
      </c>
      <c r="P321" s="1">
        <v>20673</v>
      </c>
      <c r="Q321" s="7">
        <f>INT((crimenes_cordoba_ampliado[[#This Row],[Fecha]]-crimenes_cordoba_ampliado[[#This Row],[Fecha Nac. Víctima]])/365)</f>
        <v>62</v>
      </c>
      <c r="R321" s="7" t="str">
        <f>_xlfn.XLOOKUP(crimenes_cordoba_ampliado[[#This Row],[EDAD VICTIMA]],'Rango etareo'!$A$2:$A$25,'Rango etareo'!$B$2:$B$25,,-1)</f>
        <v>56 - 65</v>
      </c>
      <c r="S321" s="3" t="s">
        <v>22</v>
      </c>
      <c r="T321" s="3" t="str">
        <f>IF(crimenes_cordoba_ampliado[[#This Row],[Género Víctima]]="Masculino","🚹","🚺")</f>
        <v>🚹</v>
      </c>
      <c r="U321">
        <v>1</v>
      </c>
      <c r="V321" s="3" t="s">
        <v>25</v>
      </c>
      <c r="W321" s="3" t="s">
        <v>24</v>
      </c>
      <c r="X321" s="3" t="s">
        <v>24</v>
      </c>
      <c r="Y321" s="3" t="s">
        <v>39</v>
      </c>
      <c r="Z321" s="3" t="s">
        <v>25</v>
      </c>
      <c r="AA321" s="3" t="s">
        <v>25</v>
      </c>
      <c r="AB321" s="3" t="str">
        <f>IF(crimenes_cordoba_ampliado[[#This Row],[Hubo Arresto]]="Sí", "Resuelto", "Pendiente")</f>
        <v>Pendiente</v>
      </c>
      <c r="AC321" s="3" t="s">
        <v>24</v>
      </c>
      <c r="AD321" s="3"/>
    </row>
    <row r="322" spans="1:30" x14ac:dyDescent="0.25">
      <c r="A322">
        <v>301</v>
      </c>
      <c r="B322" s="1">
        <v>44307</v>
      </c>
      <c r="C322" s="33">
        <f t="shared" ref="C322:C385" si="10">B:B</f>
        <v>44307</v>
      </c>
      <c r="D322" s="34">
        <f t="shared" ref="D322:D385" si="11">B:B</f>
        <v>44307</v>
      </c>
      <c r="E322" s="35" t="s">
        <v>1450</v>
      </c>
      <c r="F322" s="2">
        <v>0.63958333333333328</v>
      </c>
      <c r="G322" s="3" t="s">
        <v>31</v>
      </c>
      <c r="H322" s="3" t="s">
        <v>52</v>
      </c>
      <c r="I322" s="25" t="str">
        <f>VLOOKUP(H322,Tabla5[#All],4,FALSE)</f>
        <v>-31,3477902896523, -64,2644406169297</v>
      </c>
      <c r="J322" s="1">
        <v>38682</v>
      </c>
      <c r="K322" s="7">
        <f>INT((crimenes_cordoba_ampliado[[#This Row],[Fecha]]-crimenes_cordoba_ampliado[[#This Row],[Fecha Nac. Delincuente]])/365)</f>
        <v>15</v>
      </c>
      <c r="L322" s="7" t="str">
        <f>_xlfn.XLOOKUP(crimenes_cordoba_ampliado[[#This Row],[EDAD DELINCUENTE]],'Rango etareo'!$A$10:$A$25,'Rango etareo'!$B$10:$B$25,,-1)</f>
        <v>&lt;=17</v>
      </c>
      <c r="M322" s="3" t="s">
        <v>22</v>
      </c>
      <c r="N322" s="3" t="str">
        <f>IF(crimenes_cordoba_ampliado[[#This Row],[Género Delincuente]]="Femenino","🚺","🚹")</f>
        <v>🚹</v>
      </c>
      <c r="O322">
        <v>4</v>
      </c>
      <c r="P322" s="1">
        <v>20117</v>
      </c>
      <c r="Q322" s="7">
        <f>INT((crimenes_cordoba_ampliado[[#This Row],[Fecha]]-crimenes_cordoba_ampliado[[#This Row],[Fecha Nac. Víctima]])/365)</f>
        <v>66</v>
      </c>
      <c r="R322" s="7" t="str">
        <f>_xlfn.XLOOKUP(crimenes_cordoba_ampliado[[#This Row],[EDAD VICTIMA]],'Rango etareo'!$A$2:$A$25,'Rango etareo'!$B$2:$B$25,,-1)</f>
        <v>&gt;65</v>
      </c>
      <c r="S322" s="3" t="s">
        <v>22</v>
      </c>
      <c r="T322" s="3" t="str">
        <f>IF(crimenes_cordoba_ampliado[[#This Row],[Género Víctima]]="Masculino","🚹","🚺")</f>
        <v>🚹</v>
      </c>
      <c r="U322">
        <v>3</v>
      </c>
      <c r="V322" s="3" t="s">
        <v>23</v>
      </c>
      <c r="W322" s="3" t="s">
        <v>24</v>
      </c>
      <c r="X322" s="3" t="s">
        <v>24</v>
      </c>
      <c r="Y322" s="3" t="s">
        <v>53</v>
      </c>
      <c r="Z322" s="3" t="s">
        <v>25</v>
      </c>
      <c r="AA322" s="3" t="s">
        <v>25</v>
      </c>
      <c r="AB322" s="3" t="str">
        <f>IF(crimenes_cordoba_ampliado[[#This Row],[Hubo Arresto]]="Sí", "Resuelto", "Pendiente")</f>
        <v>Resuelto</v>
      </c>
      <c r="AC322" s="3" t="s">
        <v>204</v>
      </c>
      <c r="AD322" s="3"/>
    </row>
    <row r="323" spans="1:30" x14ac:dyDescent="0.25">
      <c r="A323">
        <v>288</v>
      </c>
      <c r="B323" s="1">
        <v>43315</v>
      </c>
      <c r="C323" s="33">
        <f t="shared" si="10"/>
        <v>43315</v>
      </c>
      <c r="D323" s="34">
        <f t="shared" si="11"/>
        <v>43315</v>
      </c>
      <c r="E323" s="35" t="s">
        <v>1455</v>
      </c>
      <c r="F323" s="2">
        <v>0.41388888888888886</v>
      </c>
      <c r="G323" s="3" t="s">
        <v>51</v>
      </c>
      <c r="H323" s="3" t="s">
        <v>49</v>
      </c>
      <c r="I323" s="25" t="str">
        <f>VLOOKUP(H323,Tabla5[#All],4,FALSE)</f>
        <v>-31,4506257494184, -64,1733054344705</v>
      </c>
      <c r="J323" s="1">
        <v>29909</v>
      </c>
      <c r="K323" s="7">
        <f>INT((crimenes_cordoba_ampliado[[#This Row],[Fecha]]-crimenes_cordoba_ampliado[[#This Row],[Fecha Nac. Delincuente]])/365)</f>
        <v>36</v>
      </c>
      <c r="L323" s="7" t="str">
        <f>_xlfn.XLOOKUP(crimenes_cordoba_ampliado[[#This Row],[EDAD DELINCUENTE]],'Rango etareo'!$A$10:$A$25,'Rango etareo'!$B$10:$B$25,,-1)</f>
        <v>36 - 45</v>
      </c>
      <c r="M323" s="3" t="s">
        <v>22</v>
      </c>
      <c r="N323" s="3" t="str">
        <f>IF(crimenes_cordoba_ampliado[[#This Row],[Género Delincuente]]="Femenino","🚺","🚹")</f>
        <v>🚹</v>
      </c>
      <c r="O323">
        <v>2</v>
      </c>
      <c r="P323" s="1">
        <v>25191</v>
      </c>
      <c r="Q323" s="7">
        <f>INT((crimenes_cordoba_ampliado[[#This Row],[Fecha]]-crimenes_cordoba_ampliado[[#This Row],[Fecha Nac. Víctima]])/365)</f>
        <v>49</v>
      </c>
      <c r="R323" s="7" t="str">
        <f>_xlfn.XLOOKUP(crimenes_cordoba_ampliado[[#This Row],[EDAD VICTIMA]],'Rango etareo'!$A$2:$A$25,'Rango etareo'!$B$2:$B$25,,-1)</f>
        <v>46 - 55</v>
      </c>
      <c r="S323" s="3" t="s">
        <v>21</v>
      </c>
      <c r="T323" s="3" t="str">
        <f>IF(crimenes_cordoba_ampliado[[#This Row],[Género Víctima]]="Masculino","🚹","🚺")</f>
        <v>🚺</v>
      </c>
      <c r="U323">
        <v>1</v>
      </c>
      <c r="V323" s="3" t="s">
        <v>25</v>
      </c>
      <c r="W323" s="3" t="s">
        <v>24</v>
      </c>
      <c r="X323" s="3" t="s">
        <v>24</v>
      </c>
      <c r="Y323" s="3" t="s">
        <v>69</v>
      </c>
      <c r="Z323" s="3" t="s">
        <v>25</v>
      </c>
      <c r="AA323" s="3" t="s">
        <v>25</v>
      </c>
      <c r="AB323" s="3" t="str">
        <f>IF(crimenes_cordoba_ampliado[[#This Row],[Hubo Arresto]]="Sí", "Resuelto", "Pendiente")</f>
        <v>Pendiente</v>
      </c>
      <c r="AC323" s="3" t="s">
        <v>24</v>
      </c>
      <c r="AD323" s="3"/>
    </row>
    <row r="324" spans="1:30" x14ac:dyDescent="0.25">
      <c r="A324">
        <v>302</v>
      </c>
      <c r="B324" s="1">
        <v>44246</v>
      </c>
      <c r="C324" s="33">
        <f t="shared" si="10"/>
        <v>44246</v>
      </c>
      <c r="D324" s="34">
        <f t="shared" si="11"/>
        <v>44246</v>
      </c>
      <c r="E324" s="35" t="s">
        <v>1455</v>
      </c>
      <c r="F324" s="2">
        <v>0.74652777777777779</v>
      </c>
      <c r="G324" s="3" t="s">
        <v>51</v>
      </c>
      <c r="H324" s="3" t="s">
        <v>55</v>
      </c>
      <c r="I324" s="25" t="str">
        <f>VLOOKUP(H324,Tabla5[#All],4,FALSE)</f>
        <v>-31,4015892433235, -64,160442876477</v>
      </c>
      <c r="J324" s="1">
        <v>30455</v>
      </c>
      <c r="K324" s="7">
        <f>INT((crimenes_cordoba_ampliado[[#This Row],[Fecha]]-crimenes_cordoba_ampliado[[#This Row],[Fecha Nac. Delincuente]])/365)</f>
        <v>37</v>
      </c>
      <c r="L324" s="7" t="str">
        <f>_xlfn.XLOOKUP(crimenes_cordoba_ampliado[[#This Row],[EDAD DELINCUENTE]],'Rango etareo'!$A$10:$A$25,'Rango etareo'!$B$10:$B$25,,-1)</f>
        <v>36 - 45</v>
      </c>
      <c r="M324" s="3" t="s">
        <v>21</v>
      </c>
      <c r="N324" s="3" t="str">
        <f>IF(crimenes_cordoba_ampliado[[#This Row],[Género Delincuente]]="Femenino","🚺","🚹")</f>
        <v>🚺</v>
      </c>
      <c r="O324">
        <v>3</v>
      </c>
      <c r="P324" s="1">
        <v>31132</v>
      </c>
      <c r="Q324" s="7">
        <f>INT((crimenes_cordoba_ampliado[[#This Row],[Fecha]]-crimenes_cordoba_ampliado[[#This Row],[Fecha Nac. Víctima]])/365)</f>
        <v>35</v>
      </c>
      <c r="R324" s="7" t="str">
        <f>_xlfn.XLOOKUP(crimenes_cordoba_ampliado[[#This Row],[EDAD VICTIMA]],'Rango etareo'!$A$2:$A$25,'Rango etareo'!$B$2:$B$25,,-1)</f>
        <v>26 - 35</v>
      </c>
      <c r="S324" s="3" t="s">
        <v>21</v>
      </c>
      <c r="T324" s="3" t="str">
        <f>IF(crimenes_cordoba_ampliado[[#This Row],[Género Víctima]]="Masculino","🚹","🚺")</f>
        <v>🚺</v>
      </c>
      <c r="U324">
        <v>3</v>
      </c>
      <c r="V324" s="3" t="s">
        <v>23</v>
      </c>
      <c r="W324" s="3" t="s">
        <v>24</v>
      </c>
      <c r="X324" s="3" t="s">
        <v>24</v>
      </c>
      <c r="Y324" s="3" t="s">
        <v>56</v>
      </c>
      <c r="Z324" s="3" t="s">
        <v>23</v>
      </c>
      <c r="AA324" s="3" t="s">
        <v>25</v>
      </c>
      <c r="AB324" s="3" t="str">
        <f>IF(crimenes_cordoba_ampliado[[#This Row],[Hubo Arresto]]="Sí", "Resuelto", "Pendiente")</f>
        <v>Resuelto</v>
      </c>
      <c r="AC324" s="3" t="s">
        <v>205</v>
      </c>
      <c r="AD324" s="3"/>
    </row>
    <row r="325" spans="1:30" x14ac:dyDescent="0.25">
      <c r="A325">
        <v>606</v>
      </c>
      <c r="B325" s="1">
        <v>43318</v>
      </c>
      <c r="C325" s="33">
        <f t="shared" si="10"/>
        <v>43318</v>
      </c>
      <c r="D325" s="34">
        <f t="shared" si="11"/>
        <v>43318</v>
      </c>
      <c r="E325" s="35" t="s">
        <v>1452</v>
      </c>
      <c r="F325" s="2">
        <v>0.32708333333333334</v>
      </c>
      <c r="G325" s="3" t="s">
        <v>81</v>
      </c>
      <c r="H325" s="3" t="s">
        <v>65</v>
      </c>
      <c r="I325" s="25" t="str">
        <f>VLOOKUP(H325,Tabla5[#All],4,FALSE)</f>
        <v>-31,4285567311661, -64,1853198281007</v>
      </c>
      <c r="J325" s="1">
        <v>27669</v>
      </c>
      <c r="K325" s="7">
        <f>INT((crimenes_cordoba_ampliado[[#This Row],[Fecha]]-crimenes_cordoba_ampliado[[#This Row],[Fecha Nac. Delincuente]])/365)</f>
        <v>42</v>
      </c>
      <c r="L325" s="7" t="str">
        <f>_xlfn.XLOOKUP(crimenes_cordoba_ampliado[[#This Row],[EDAD DELINCUENTE]],'Rango etareo'!$A$10:$A$25,'Rango etareo'!$B$10:$B$25,,-1)</f>
        <v>36 - 45</v>
      </c>
      <c r="M325" s="3" t="s">
        <v>22</v>
      </c>
      <c r="N325" s="3" t="str">
        <f>IF(crimenes_cordoba_ampliado[[#This Row],[Género Delincuente]]="Femenino","🚺","🚹")</f>
        <v>🚹</v>
      </c>
      <c r="O325">
        <v>3</v>
      </c>
      <c r="P325" s="1">
        <v>15957</v>
      </c>
      <c r="Q325" s="7">
        <f>INT((crimenes_cordoba_ampliado[[#This Row],[Fecha]]-crimenes_cordoba_ampliado[[#This Row],[Fecha Nac. Víctima]])/365)</f>
        <v>74</v>
      </c>
      <c r="R325" s="7" t="str">
        <f>_xlfn.XLOOKUP(crimenes_cordoba_ampliado[[#This Row],[EDAD VICTIMA]],'Rango etareo'!$A$2:$A$25,'Rango etareo'!$B$2:$B$25,,-1)</f>
        <v>&gt;65</v>
      </c>
      <c r="S325" s="3" t="s">
        <v>22</v>
      </c>
      <c r="T325" s="3" t="str">
        <f>IF(crimenes_cordoba_ampliado[[#This Row],[Género Víctima]]="Masculino","🚹","🚺")</f>
        <v>🚹</v>
      </c>
      <c r="U325">
        <v>2</v>
      </c>
      <c r="V325" s="3" t="s">
        <v>25</v>
      </c>
      <c r="W325" s="3" t="s">
        <v>24</v>
      </c>
      <c r="X325" s="3" t="s">
        <v>24</v>
      </c>
      <c r="Y325" s="3" t="s">
        <v>24</v>
      </c>
      <c r="Z325" s="3" t="s">
        <v>25</v>
      </c>
      <c r="AA325" s="3" t="s">
        <v>23</v>
      </c>
      <c r="AB325" s="3" t="str">
        <f>IF(crimenes_cordoba_ampliado[[#This Row],[Hubo Arresto]]="Sí", "Resuelto", "Pendiente")</f>
        <v>Pendiente</v>
      </c>
      <c r="AC325" s="3" t="s">
        <v>24</v>
      </c>
      <c r="AD325" s="3"/>
    </row>
    <row r="326" spans="1:30" x14ac:dyDescent="0.25">
      <c r="A326">
        <v>303</v>
      </c>
      <c r="B326" s="1">
        <v>43692</v>
      </c>
      <c r="C326" s="33">
        <f t="shared" si="10"/>
        <v>43692</v>
      </c>
      <c r="D326" s="34">
        <f t="shared" si="11"/>
        <v>43692</v>
      </c>
      <c r="E326" s="35" t="s">
        <v>1454</v>
      </c>
      <c r="F326" s="2">
        <v>3.7499999999999999E-2</v>
      </c>
      <c r="G326" s="3" t="s">
        <v>31</v>
      </c>
      <c r="H326" s="3" t="s">
        <v>55</v>
      </c>
      <c r="I326" s="25" t="str">
        <f>VLOOKUP(H326,Tabla5[#All],4,FALSE)</f>
        <v>-31,4015892433235, -64,160442876477</v>
      </c>
      <c r="J326" s="1">
        <v>21881</v>
      </c>
      <c r="K326" s="7">
        <f>INT((crimenes_cordoba_ampliado[[#This Row],[Fecha]]-crimenes_cordoba_ampliado[[#This Row],[Fecha Nac. Delincuente]])/365)</f>
        <v>59</v>
      </c>
      <c r="L326" s="7" t="str">
        <f>_xlfn.XLOOKUP(crimenes_cordoba_ampliado[[#This Row],[EDAD DELINCUENTE]],'Rango etareo'!$A$10:$A$25,'Rango etareo'!$B$10:$B$25,,-1)</f>
        <v>56 - 65</v>
      </c>
      <c r="M326" s="3" t="s">
        <v>22</v>
      </c>
      <c r="N326" s="3" t="str">
        <f>IF(crimenes_cordoba_ampliado[[#This Row],[Género Delincuente]]="Femenino","🚺","🚹")</f>
        <v>🚹</v>
      </c>
      <c r="O326">
        <v>4</v>
      </c>
      <c r="P326" s="1">
        <v>39194</v>
      </c>
      <c r="Q326" s="7">
        <f>INT((crimenes_cordoba_ampliado[[#This Row],[Fecha]]-crimenes_cordoba_ampliado[[#This Row],[Fecha Nac. Víctima]])/365)</f>
        <v>12</v>
      </c>
      <c r="R326" s="7" t="str">
        <f>_xlfn.XLOOKUP(crimenes_cordoba_ampliado[[#This Row],[EDAD VICTIMA]],'Rango etareo'!$A$2:$A$25,'Rango etareo'!$B$2:$B$25,,-1)</f>
        <v>&lt;=17</v>
      </c>
      <c r="S326" s="3" t="s">
        <v>22</v>
      </c>
      <c r="T326" s="3" t="str">
        <f>IF(crimenes_cordoba_ampliado[[#This Row],[Género Víctima]]="Masculino","🚹","🚺")</f>
        <v>🚹</v>
      </c>
      <c r="U326">
        <v>3</v>
      </c>
      <c r="V326" s="3" t="s">
        <v>23</v>
      </c>
      <c r="W326" s="3" t="s">
        <v>24</v>
      </c>
      <c r="X326" s="3" t="s">
        <v>24</v>
      </c>
      <c r="Y326" s="3" t="s">
        <v>53</v>
      </c>
      <c r="Z326" s="3" t="s">
        <v>25</v>
      </c>
      <c r="AA326" s="3" t="s">
        <v>25</v>
      </c>
      <c r="AB326" s="3" t="str">
        <f>IF(crimenes_cordoba_ampliado[[#This Row],[Hubo Arresto]]="Sí", "Resuelto", "Pendiente")</f>
        <v>Resuelto</v>
      </c>
      <c r="AC326" s="3" t="s">
        <v>206</v>
      </c>
      <c r="AD326" s="3"/>
    </row>
    <row r="327" spans="1:30" x14ac:dyDescent="0.25">
      <c r="A327">
        <v>304</v>
      </c>
      <c r="B327" s="1">
        <v>42117</v>
      </c>
      <c r="C327" s="33">
        <f t="shared" si="10"/>
        <v>42117</v>
      </c>
      <c r="D327" s="34">
        <f t="shared" si="11"/>
        <v>42117</v>
      </c>
      <c r="E327" s="35" t="s">
        <v>1454</v>
      </c>
      <c r="F327" s="2">
        <v>0.24027777777777778</v>
      </c>
      <c r="G327" s="3" t="s">
        <v>38</v>
      </c>
      <c r="H327" s="3" t="s">
        <v>32</v>
      </c>
      <c r="I327" s="25" t="str">
        <f>VLOOKUP(H327,Tabla5[#All],4,FALSE)</f>
        <v>-31,4148488101991, -64,1793406489438</v>
      </c>
      <c r="J327" s="1">
        <v>33245</v>
      </c>
      <c r="K327" s="7">
        <f>INT((crimenes_cordoba_ampliado[[#This Row],[Fecha]]-crimenes_cordoba_ampliado[[#This Row],[Fecha Nac. Delincuente]])/365)</f>
        <v>24</v>
      </c>
      <c r="L327" s="7" t="str">
        <f>_xlfn.XLOOKUP(crimenes_cordoba_ampliado[[#This Row],[EDAD DELINCUENTE]],'Rango etareo'!$A$10:$A$25,'Rango etareo'!$B$10:$B$25,,-1)</f>
        <v>18 - 25</v>
      </c>
      <c r="M327" s="3" t="s">
        <v>22</v>
      </c>
      <c r="N327" s="3" t="str">
        <f>IF(crimenes_cordoba_ampliado[[#This Row],[Género Delincuente]]="Femenino","🚺","🚹")</f>
        <v>🚹</v>
      </c>
      <c r="O327">
        <v>1</v>
      </c>
      <c r="P327" s="1">
        <v>15381</v>
      </c>
      <c r="Q327" s="7">
        <f>INT((crimenes_cordoba_ampliado[[#This Row],[Fecha]]-crimenes_cordoba_ampliado[[#This Row],[Fecha Nac. Víctima]])/365)</f>
        <v>73</v>
      </c>
      <c r="R327" s="7" t="str">
        <f>_xlfn.XLOOKUP(crimenes_cordoba_ampliado[[#This Row],[EDAD VICTIMA]],'Rango etareo'!$A$2:$A$25,'Rango etareo'!$B$2:$B$25,,-1)</f>
        <v>&gt;65</v>
      </c>
      <c r="S327" s="3" t="s">
        <v>22</v>
      </c>
      <c r="T327" s="3" t="str">
        <f>IF(crimenes_cordoba_ampliado[[#This Row],[Género Víctima]]="Masculino","🚹","🚺")</f>
        <v>🚹</v>
      </c>
      <c r="U327">
        <v>2</v>
      </c>
      <c r="V327" s="3" t="s">
        <v>23</v>
      </c>
      <c r="W327" s="3" t="s">
        <v>24</v>
      </c>
      <c r="X327" s="3" t="s">
        <v>29</v>
      </c>
      <c r="Y327" s="3" t="s">
        <v>24</v>
      </c>
      <c r="Z327" s="3" t="s">
        <v>25</v>
      </c>
      <c r="AA327" s="3" t="s">
        <v>25</v>
      </c>
      <c r="AB327" s="3" t="str">
        <f>IF(crimenes_cordoba_ampliado[[#This Row],[Hubo Arresto]]="Sí", "Resuelto", "Pendiente")</f>
        <v>Resuelto</v>
      </c>
      <c r="AC327" s="3" t="s">
        <v>152</v>
      </c>
      <c r="AD327" s="3"/>
    </row>
    <row r="328" spans="1:30" x14ac:dyDescent="0.25">
      <c r="A328">
        <v>619</v>
      </c>
      <c r="B328" s="1">
        <v>43338</v>
      </c>
      <c r="C328" s="33">
        <f t="shared" si="10"/>
        <v>43338</v>
      </c>
      <c r="D328" s="34">
        <f t="shared" si="11"/>
        <v>43338</v>
      </c>
      <c r="E328" s="35" t="s">
        <v>1449</v>
      </c>
      <c r="F328" s="2">
        <v>0.68055555555555558</v>
      </c>
      <c r="G328" s="3" t="s">
        <v>51</v>
      </c>
      <c r="H328" s="3" t="s">
        <v>65</v>
      </c>
      <c r="I328" s="25" t="str">
        <f>VLOOKUP(H328,Tabla5[#All],4,FALSE)</f>
        <v>-31,4285567311661, -64,1853198281007</v>
      </c>
      <c r="J328" s="1">
        <v>20491</v>
      </c>
      <c r="K328" s="7">
        <f>INT((crimenes_cordoba_ampliado[[#This Row],[Fecha]]-crimenes_cordoba_ampliado[[#This Row],[Fecha Nac. Delincuente]])/365)</f>
        <v>62</v>
      </c>
      <c r="L328" s="7" t="str">
        <f>_xlfn.XLOOKUP(crimenes_cordoba_ampliado[[#This Row],[EDAD DELINCUENTE]],'Rango etareo'!$A$10:$A$25,'Rango etareo'!$B$10:$B$25,,-1)</f>
        <v>56 - 65</v>
      </c>
      <c r="M328" s="3" t="s">
        <v>21</v>
      </c>
      <c r="N328" s="3" t="str">
        <f>IF(crimenes_cordoba_ampliado[[#This Row],[Género Delincuente]]="Femenino","🚺","🚹")</f>
        <v>🚺</v>
      </c>
      <c r="O328">
        <v>2</v>
      </c>
      <c r="P328" s="1">
        <v>30490</v>
      </c>
      <c r="Q328" s="7">
        <f>INT((crimenes_cordoba_ampliado[[#This Row],[Fecha]]-crimenes_cordoba_ampliado[[#This Row],[Fecha Nac. Víctima]])/365)</f>
        <v>35</v>
      </c>
      <c r="R328" s="7" t="str">
        <f>_xlfn.XLOOKUP(crimenes_cordoba_ampliado[[#This Row],[EDAD VICTIMA]],'Rango etareo'!$A$2:$A$25,'Rango etareo'!$B$2:$B$25,,-1)</f>
        <v>26 - 35</v>
      </c>
      <c r="S328" s="3" t="s">
        <v>21</v>
      </c>
      <c r="T328" s="3" t="str">
        <f>IF(crimenes_cordoba_ampliado[[#This Row],[Género Víctima]]="Masculino","🚹","🚺")</f>
        <v>🚺</v>
      </c>
      <c r="U328">
        <v>2</v>
      </c>
      <c r="V328" s="3" t="s">
        <v>25</v>
      </c>
      <c r="W328" s="3" t="s">
        <v>24</v>
      </c>
      <c r="X328" s="3" t="s">
        <v>24</v>
      </c>
      <c r="Y328" s="3" t="s">
        <v>69</v>
      </c>
      <c r="Z328" s="3" t="s">
        <v>23</v>
      </c>
      <c r="AA328" s="3" t="s">
        <v>25</v>
      </c>
      <c r="AB328" s="3" t="str">
        <f>IF(crimenes_cordoba_ampliado[[#This Row],[Hubo Arresto]]="Sí", "Resuelto", "Pendiente")</f>
        <v>Pendiente</v>
      </c>
      <c r="AC328" s="3" t="s">
        <v>24</v>
      </c>
      <c r="AD328" s="3"/>
    </row>
    <row r="329" spans="1:30" x14ac:dyDescent="0.25">
      <c r="A329">
        <v>992</v>
      </c>
      <c r="B329" s="1">
        <v>43341</v>
      </c>
      <c r="C329" s="33">
        <f t="shared" si="10"/>
        <v>43341</v>
      </c>
      <c r="D329" s="34">
        <f t="shared" si="11"/>
        <v>43341</v>
      </c>
      <c r="E329" s="35" t="s">
        <v>1450</v>
      </c>
      <c r="F329" s="2">
        <v>0.52986111111111112</v>
      </c>
      <c r="G329" s="3" t="s">
        <v>48</v>
      </c>
      <c r="H329" s="3" t="s">
        <v>70</v>
      </c>
      <c r="I329" s="25" t="str">
        <f>VLOOKUP(H329,Tabla5[#All],4,FALSE)</f>
        <v>-31,3759272890294, -64,2284587792478</v>
      </c>
      <c r="J329" s="1">
        <v>35586</v>
      </c>
      <c r="K329" s="7">
        <f>INT((crimenes_cordoba_ampliado[[#This Row],[Fecha]]-crimenes_cordoba_ampliado[[#This Row],[Fecha Nac. Delincuente]])/365)</f>
        <v>21</v>
      </c>
      <c r="L329" s="7" t="str">
        <f>_xlfn.XLOOKUP(crimenes_cordoba_ampliado[[#This Row],[EDAD DELINCUENTE]],'Rango etareo'!$A$10:$A$25,'Rango etareo'!$B$10:$B$25,,-1)</f>
        <v>18 - 25</v>
      </c>
      <c r="M329" s="3" t="s">
        <v>21</v>
      </c>
      <c r="N329" s="3" t="str">
        <f>IF(crimenes_cordoba_ampliado[[#This Row],[Género Delincuente]]="Femenino","🚺","🚹")</f>
        <v>🚺</v>
      </c>
      <c r="O329">
        <v>4</v>
      </c>
      <c r="P329" s="1">
        <v>29498</v>
      </c>
      <c r="Q329" s="7">
        <f>INT((crimenes_cordoba_ampliado[[#This Row],[Fecha]]-crimenes_cordoba_ampliado[[#This Row],[Fecha Nac. Víctima]])/365)</f>
        <v>37</v>
      </c>
      <c r="R329" s="7" t="str">
        <f>_xlfn.XLOOKUP(crimenes_cordoba_ampliado[[#This Row],[EDAD VICTIMA]],'Rango etareo'!$A$2:$A$25,'Rango etareo'!$B$2:$B$25,,-1)</f>
        <v>36 - 45</v>
      </c>
      <c r="S329" s="3" t="s">
        <v>22</v>
      </c>
      <c r="T329" s="3" t="str">
        <f>IF(crimenes_cordoba_ampliado[[#This Row],[Género Víctima]]="Masculino","🚹","🚺")</f>
        <v>🚹</v>
      </c>
      <c r="U329">
        <v>1</v>
      </c>
      <c r="V329" s="3" t="s">
        <v>25</v>
      </c>
      <c r="W329" s="3" t="s">
        <v>24</v>
      </c>
      <c r="X329" s="3" t="s">
        <v>24</v>
      </c>
      <c r="Y329" s="3" t="s">
        <v>39</v>
      </c>
      <c r="Z329" s="3" t="s">
        <v>25</v>
      </c>
      <c r="AA329" s="3" t="s">
        <v>25</v>
      </c>
      <c r="AB329" s="3" t="str">
        <f>IF(crimenes_cordoba_ampliado[[#This Row],[Hubo Arresto]]="Sí", "Resuelto", "Pendiente")</f>
        <v>Pendiente</v>
      </c>
      <c r="AC329" s="3" t="s">
        <v>24</v>
      </c>
      <c r="AD329" s="3"/>
    </row>
    <row r="330" spans="1:30" x14ac:dyDescent="0.25">
      <c r="A330">
        <v>306</v>
      </c>
      <c r="B330" s="1">
        <v>43463</v>
      </c>
      <c r="C330" s="33">
        <f t="shared" si="10"/>
        <v>43463</v>
      </c>
      <c r="D330" s="34">
        <f t="shared" si="11"/>
        <v>43463</v>
      </c>
      <c r="E330" s="35" t="s">
        <v>1451</v>
      </c>
      <c r="F330" s="2">
        <v>0.93125000000000002</v>
      </c>
      <c r="G330" s="3" t="s">
        <v>42</v>
      </c>
      <c r="H330" s="3" t="s">
        <v>49</v>
      </c>
      <c r="I330" s="25" t="str">
        <f>VLOOKUP(H330,Tabla5[#All],4,FALSE)</f>
        <v>-31,4506257494184, -64,1733054344705</v>
      </c>
      <c r="J330" s="1">
        <v>37750</v>
      </c>
      <c r="K330" s="7">
        <f>INT((crimenes_cordoba_ampliado[[#This Row],[Fecha]]-crimenes_cordoba_ampliado[[#This Row],[Fecha Nac. Delincuente]])/365)</f>
        <v>15</v>
      </c>
      <c r="L330" s="7" t="str">
        <f>_xlfn.XLOOKUP(crimenes_cordoba_ampliado[[#This Row],[EDAD DELINCUENTE]],'Rango etareo'!$A$10:$A$25,'Rango etareo'!$B$10:$B$25,,-1)</f>
        <v>&lt;=17</v>
      </c>
      <c r="M330" s="3" t="s">
        <v>22</v>
      </c>
      <c r="N330" s="3" t="str">
        <f>IF(crimenes_cordoba_ampliado[[#This Row],[Género Delincuente]]="Femenino","🚺","🚹")</f>
        <v>🚹</v>
      </c>
      <c r="O330">
        <v>5</v>
      </c>
      <c r="P330" s="1">
        <v>29814</v>
      </c>
      <c r="Q330" s="7">
        <f>INT((crimenes_cordoba_ampliado[[#This Row],[Fecha]]-crimenes_cordoba_ampliado[[#This Row],[Fecha Nac. Víctima]])/365)</f>
        <v>37</v>
      </c>
      <c r="R330" s="7" t="str">
        <f>_xlfn.XLOOKUP(crimenes_cordoba_ampliado[[#This Row],[EDAD VICTIMA]],'Rango etareo'!$A$2:$A$25,'Rango etareo'!$B$2:$B$25,,-1)</f>
        <v>36 - 45</v>
      </c>
      <c r="S330" s="3" t="s">
        <v>21</v>
      </c>
      <c r="T330" s="3" t="str">
        <f>IF(crimenes_cordoba_ampliado[[#This Row],[Género Víctima]]="Masculino","🚹","🚺")</f>
        <v>🚺</v>
      </c>
      <c r="U330">
        <v>1</v>
      </c>
      <c r="V330" s="3" t="s">
        <v>23</v>
      </c>
      <c r="W330" s="3" t="s">
        <v>83</v>
      </c>
      <c r="X330" s="3" t="s">
        <v>41</v>
      </c>
      <c r="Y330" s="3" t="s">
        <v>24</v>
      </c>
      <c r="Z330" s="3" t="s">
        <v>25</v>
      </c>
      <c r="AA330" s="3" t="s">
        <v>23</v>
      </c>
      <c r="AB330" s="3" t="str">
        <f>IF(crimenes_cordoba_ampliado[[#This Row],[Hubo Arresto]]="Sí", "Resuelto", "Pendiente")</f>
        <v>Resuelto</v>
      </c>
      <c r="AC330" s="3" t="s">
        <v>128</v>
      </c>
      <c r="AD330" s="3"/>
    </row>
    <row r="331" spans="1:30" x14ac:dyDescent="0.25">
      <c r="A331">
        <v>381</v>
      </c>
      <c r="B331" s="1">
        <v>43345</v>
      </c>
      <c r="C331" s="33">
        <f t="shared" si="10"/>
        <v>43345</v>
      </c>
      <c r="D331" s="34">
        <f t="shared" si="11"/>
        <v>43345</v>
      </c>
      <c r="E331" s="35" t="s">
        <v>1449</v>
      </c>
      <c r="F331" s="2">
        <v>0.75972222222222219</v>
      </c>
      <c r="G331" s="3" t="s">
        <v>54</v>
      </c>
      <c r="H331" s="3" t="s">
        <v>32</v>
      </c>
      <c r="I331" s="25" t="str">
        <f>VLOOKUP(H331,Tabla5[#All],4,FALSE)</f>
        <v>-31,4148488101991, -64,1793406489438</v>
      </c>
      <c r="J331" s="1">
        <v>22565</v>
      </c>
      <c r="K331" s="7">
        <f>INT((crimenes_cordoba_ampliado[[#This Row],[Fecha]]-crimenes_cordoba_ampliado[[#This Row],[Fecha Nac. Delincuente]])/365)</f>
        <v>56</v>
      </c>
      <c r="L331" s="7" t="str">
        <f>_xlfn.XLOOKUP(crimenes_cordoba_ampliado[[#This Row],[EDAD DELINCUENTE]],'Rango etareo'!$A$10:$A$25,'Rango etareo'!$B$10:$B$25,,-1)</f>
        <v>56 - 65</v>
      </c>
      <c r="M331" s="3" t="s">
        <v>21</v>
      </c>
      <c r="N331" s="3" t="str">
        <f>IF(crimenes_cordoba_ampliado[[#This Row],[Género Delincuente]]="Femenino","🚺","🚹")</f>
        <v>🚺</v>
      </c>
      <c r="O331">
        <v>4</v>
      </c>
      <c r="P331" s="1">
        <v>16242</v>
      </c>
      <c r="Q331" s="7">
        <f>INT((crimenes_cordoba_ampliado[[#This Row],[Fecha]]-crimenes_cordoba_ampliado[[#This Row],[Fecha Nac. Víctima]])/365)</f>
        <v>74</v>
      </c>
      <c r="R331" s="7" t="str">
        <f>_xlfn.XLOOKUP(crimenes_cordoba_ampliado[[#This Row],[EDAD VICTIMA]],'Rango etareo'!$A$2:$A$25,'Rango etareo'!$B$2:$B$25,,-1)</f>
        <v>&gt;65</v>
      </c>
      <c r="S331" s="3" t="s">
        <v>22</v>
      </c>
      <c r="T331" s="3" t="str">
        <f>IF(crimenes_cordoba_ampliado[[#This Row],[Género Víctima]]="Masculino","🚹","🚺")</f>
        <v>🚹</v>
      </c>
      <c r="U331">
        <v>3</v>
      </c>
      <c r="V331" s="3" t="s">
        <v>25</v>
      </c>
      <c r="W331" s="3" t="s">
        <v>63</v>
      </c>
      <c r="X331" s="3" t="s">
        <v>24</v>
      </c>
      <c r="Y331" s="3" t="s">
        <v>101</v>
      </c>
      <c r="Z331" s="3" t="s">
        <v>25</v>
      </c>
      <c r="AA331" s="3" t="s">
        <v>25</v>
      </c>
      <c r="AB331" s="3" t="str">
        <f>IF(crimenes_cordoba_ampliado[[#This Row],[Hubo Arresto]]="Sí", "Resuelto", "Pendiente")</f>
        <v>Pendiente</v>
      </c>
      <c r="AC331" s="3" t="s">
        <v>24</v>
      </c>
      <c r="AD331" s="3"/>
    </row>
    <row r="332" spans="1:30" x14ac:dyDescent="0.25">
      <c r="A332">
        <v>308</v>
      </c>
      <c r="B332" s="1">
        <v>44957</v>
      </c>
      <c r="C332" s="33">
        <f t="shared" si="10"/>
        <v>44957</v>
      </c>
      <c r="D332" s="34">
        <f t="shared" si="11"/>
        <v>44957</v>
      </c>
      <c r="E332" s="35" t="s">
        <v>1453</v>
      </c>
      <c r="F332" s="2">
        <v>0.15902777777777777</v>
      </c>
      <c r="G332" s="3" t="s">
        <v>35</v>
      </c>
      <c r="H332" s="3" t="s">
        <v>28</v>
      </c>
      <c r="I332" s="25" t="str">
        <f>VLOOKUP(H332,Tabla5[#All],4,FALSE)</f>
        <v>-31,4129883640337, -64,1681120522587</v>
      </c>
      <c r="J332" s="1">
        <v>30991</v>
      </c>
      <c r="K332" s="7">
        <f>INT((crimenes_cordoba_ampliado[[#This Row],[Fecha]]-crimenes_cordoba_ampliado[[#This Row],[Fecha Nac. Delincuente]])/365)</f>
        <v>38</v>
      </c>
      <c r="L332" s="7" t="str">
        <f>_xlfn.XLOOKUP(crimenes_cordoba_ampliado[[#This Row],[EDAD DELINCUENTE]],'Rango etareo'!$A$10:$A$25,'Rango etareo'!$B$10:$B$25,,-1)</f>
        <v>36 - 45</v>
      </c>
      <c r="M332" s="3" t="s">
        <v>22</v>
      </c>
      <c r="N332" s="3" t="str">
        <f>IF(crimenes_cordoba_ampliado[[#This Row],[Género Delincuente]]="Femenino","🚺","🚹")</f>
        <v>🚹</v>
      </c>
      <c r="O332">
        <v>5</v>
      </c>
      <c r="P332" s="1">
        <v>23542</v>
      </c>
      <c r="Q332" s="7">
        <f>INT((crimenes_cordoba_ampliado[[#This Row],[Fecha]]-crimenes_cordoba_ampliado[[#This Row],[Fecha Nac. Víctima]])/365)</f>
        <v>58</v>
      </c>
      <c r="R332" s="7" t="str">
        <f>_xlfn.XLOOKUP(crimenes_cordoba_ampliado[[#This Row],[EDAD VICTIMA]],'Rango etareo'!$A$2:$A$25,'Rango etareo'!$B$2:$B$25,,-1)</f>
        <v>56 - 65</v>
      </c>
      <c r="S332" s="3" t="s">
        <v>21</v>
      </c>
      <c r="T332" s="3" t="str">
        <f>IF(crimenes_cordoba_ampliado[[#This Row],[Género Víctima]]="Masculino","🚹","🚺")</f>
        <v>🚺</v>
      </c>
      <c r="U332">
        <v>3</v>
      </c>
      <c r="V332" s="3" t="s">
        <v>23</v>
      </c>
      <c r="W332" s="3" t="s">
        <v>24</v>
      </c>
      <c r="X332" s="3" t="s">
        <v>29</v>
      </c>
      <c r="Y332" s="3" t="s">
        <v>24</v>
      </c>
      <c r="Z332" s="3" t="s">
        <v>25</v>
      </c>
      <c r="AA332" s="3" t="s">
        <v>23</v>
      </c>
      <c r="AB332" s="3" t="str">
        <f>IF(crimenes_cordoba_ampliado[[#This Row],[Hubo Arresto]]="Sí", "Resuelto", "Pendiente")</f>
        <v>Resuelto</v>
      </c>
      <c r="AC332" s="3" t="s">
        <v>207</v>
      </c>
      <c r="AD332" s="3"/>
    </row>
    <row r="333" spans="1:30" x14ac:dyDescent="0.25">
      <c r="A333">
        <v>588</v>
      </c>
      <c r="B333" s="1">
        <v>43358</v>
      </c>
      <c r="C333" s="33">
        <f t="shared" si="10"/>
        <v>43358</v>
      </c>
      <c r="D333" s="34">
        <f t="shared" si="11"/>
        <v>43358</v>
      </c>
      <c r="E333" s="35" t="s">
        <v>1451</v>
      </c>
      <c r="F333" s="2">
        <v>0.85763888888888884</v>
      </c>
      <c r="G333" s="3" t="s">
        <v>27</v>
      </c>
      <c r="H333" s="3" t="s">
        <v>58</v>
      </c>
      <c r="I333" s="25" t="str">
        <f>VLOOKUP(H333,Tabla5[#All],4,FALSE)</f>
        <v>-31,423018915313, -64,1493562190664</v>
      </c>
      <c r="J333" s="1">
        <v>29588</v>
      </c>
      <c r="K333" s="7">
        <f>INT((crimenes_cordoba_ampliado[[#This Row],[Fecha]]-crimenes_cordoba_ampliado[[#This Row],[Fecha Nac. Delincuente]])/365)</f>
        <v>37</v>
      </c>
      <c r="L333" s="7" t="str">
        <f>_xlfn.XLOOKUP(crimenes_cordoba_ampliado[[#This Row],[EDAD DELINCUENTE]],'Rango etareo'!$A$10:$A$25,'Rango etareo'!$B$10:$B$25,,-1)</f>
        <v>36 - 45</v>
      </c>
      <c r="M333" s="3" t="s">
        <v>22</v>
      </c>
      <c r="N333" s="3" t="str">
        <f>IF(crimenes_cordoba_ampliado[[#This Row],[Género Delincuente]]="Femenino","🚺","🚹")</f>
        <v>🚹</v>
      </c>
      <c r="O333">
        <v>2</v>
      </c>
      <c r="P333" s="1">
        <v>22536</v>
      </c>
      <c r="Q333" s="7">
        <f>INT((crimenes_cordoba_ampliado[[#This Row],[Fecha]]-crimenes_cordoba_ampliado[[#This Row],[Fecha Nac. Víctima]])/365)</f>
        <v>57</v>
      </c>
      <c r="R333" s="7" t="str">
        <f>_xlfn.XLOOKUP(crimenes_cordoba_ampliado[[#This Row],[EDAD VICTIMA]],'Rango etareo'!$A$2:$A$25,'Rango etareo'!$B$2:$B$25,,-1)</f>
        <v>56 - 65</v>
      </c>
      <c r="S333" s="3" t="s">
        <v>22</v>
      </c>
      <c r="T333" s="3" t="str">
        <f>IF(crimenes_cordoba_ampliado[[#This Row],[Género Víctima]]="Masculino","🚹","🚺")</f>
        <v>🚹</v>
      </c>
      <c r="U333">
        <v>2</v>
      </c>
      <c r="V333" s="3" t="s">
        <v>25</v>
      </c>
      <c r="W333" s="3" t="s">
        <v>24</v>
      </c>
      <c r="X333" s="3" t="s">
        <v>24</v>
      </c>
      <c r="Y333" s="3" t="s">
        <v>46</v>
      </c>
      <c r="Z333" s="3" t="s">
        <v>25</v>
      </c>
      <c r="AA333" s="3" t="s">
        <v>23</v>
      </c>
      <c r="AB333" s="3" t="str">
        <f>IF(crimenes_cordoba_ampliado[[#This Row],[Hubo Arresto]]="Sí", "Resuelto", "Pendiente")</f>
        <v>Pendiente</v>
      </c>
      <c r="AC333" s="3" t="s">
        <v>24</v>
      </c>
      <c r="AD333" s="3"/>
    </row>
    <row r="334" spans="1:30" x14ac:dyDescent="0.25">
      <c r="A334">
        <v>100</v>
      </c>
      <c r="B334" s="1">
        <v>43361</v>
      </c>
      <c r="C334" s="33">
        <f t="shared" si="10"/>
        <v>43361</v>
      </c>
      <c r="D334" s="34">
        <f t="shared" si="11"/>
        <v>43361</v>
      </c>
      <c r="E334" s="35" t="s">
        <v>1453</v>
      </c>
      <c r="F334" s="2">
        <v>0.79513888888888884</v>
      </c>
      <c r="G334" s="3" t="s">
        <v>51</v>
      </c>
      <c r="H334" s="3" t="s">
        <v>20</v>
      </c>
      <c r="I334" s="25" t="str">
        <f>VLOOKUP(H334,Tabla5[#All],4,FALSE)</f>
        <v>-31,4800162965848, -64,2094200976892</v>
      </c>
      <c r="J334" s="1">
        <v>19796</v>
      </c>
      <c r="K334" s="7">
        <f>INT((crimenes_cordoba_ampliado[[#This Row],[Fecha]]-crimenes_cordoba_ampliado[[#This Row],[Fecha Nac. Delincuente]])/365)</f>
        <v>64</v>
      </c>
      <c r="L334" s="7" t="str">
        <f>_xlfn.XLOOKUP(crimenes_cordoba_ampliado[[#This Row],[EDAD DELINCUENTE]],'Rango etareo'!$A$10:$A$25,'Rango etareo'!$B$10:$B$25,,-1)</f>
        <v>56 - 65</v>
      </c>
      <c r="M334" s="3" t="s">
        <v>21</v>
      </c>
      <c r="N334" s="3" t="str">
        <f>IF(crimenes_cordoba_ampliado[[#This Row],[Género Delincuente]]="Femenino","🚺","🚹")</f>
        <v>🚺</v>
      </c>
      <c r="O334">
        <v>3</v>
      </c>
      <c r="P334" s="1">
        <v>35570</v>
      </c>
      <c r="Q334" s="7">
        <f>INT((crimenes_cordoba_ampliado[[#This Row],[Fecha]]-crimenes_cordoba_ampliado[[#This Row],[Fecha Nac. Víctima]])/365)</f>
        <v>21</v>
      </c>
      <c r="R334" s="7" t="str">
        <f>_xlfn.XLOOKUP(crimenes_cordoba_ampliado[[#This Row],[EDAD VICTIMA]],'Rango etareo'!$A$2:$A$25,'Rango etareo'!$B$2:$B$25,,-1)</f>
        <v>18 - 25</v>
      </c>
      <c r="S334" s="3" t="s">
        <v>21</v>
      </c>
      <c r="T334" s="3" t="str">
        <f>IF(crimenes_cordoba_ampliado[[#This Row],[Género Víctima]]="Masculino","🚹","🚺")</f>
        <v>🚺</v>
      </c>
      <c r="U334">
        <v>3</v>
      </c>
      <c r="V334" s="3" t="s">
        <v>25</v>
      </c>
      <c r="W334" s="3" t="s">
        <v>83</v>
      </c>
      <c r="X334" s="3" t="s">
        <v>24</v>
      </c>
      <c r="Y334" s="3" t="s">
        <v>99</v>
      </c>
      <c r="Z334" s="3" t="s">
        <v>25</v>
      </c>
      <c r="AA334" s="3" t="s">
        <v>25</v>
      </c>
      <c r="AB334" s="3" t="str">
        <f>IF(crimenes_cordoba_ampliado[[#This Row],[Hubo Arresto]]="Sí", "Resuelto", "Pendiente")</f>
        <v>Pendiente</v>
      </c>
      <c r="AC334" s="3" t="s">
        <v>24</v>
      </c>
      <c r="AD334" s="3"/>
    </row>
    <row r="335" spans="1:30" x14ac:dyDescent="0.25">
      <c r="A335">
        <v>263</v>
      </c>
      <c r="B335" s="1">
        <v>43361</v>
      </c>
      <c r="C335" s="33">
        <f t="shared" si="10"/>
        <v>43361</v>
      </c>
      <c r="D335" s="34">
        <f t="shared" si="11"/>
        <v>43361</v>
      </c>
      <c r="E335" s="35" t="s">
        <v>1453</v>
      </c>
      <c r="F335" s="2">
        <v>0.59930555555555554</v>
      </c>
      <c r="G335" s="3" t="s">
        <v>79</v>
      </c>
      <c r="H335" s="3" t="s">
        <v>28</v>
      </c>
      <c r="I335" s="25" t="str">
        <f>VLOOKUP(H335,Tabla5[#All],4,FALSE)</f>
        <v>-31,4129883640337, -64,1681120522587</v>
      </c>
      <c r="J335" s="1">
        <v>19954</v>
      </c>
      <c r="K335" s="7">
        <f>INT((crimenes_cordoba_ampliado[[#This Row],[Fecha]]-crimenes_cordoba_ampliado[[#This Row],[Fecha Nac. Delincuente]])/365)</f>
        <v>64</v>
      </c>
      <c r="L335" s="7" t="str">
        <f>_xlfn.XLOOKUP(crimenes_cordoba_ampliado[[#This Row],[EDAD DELINCUENTE]],'Rango etareo'!$A$10:$A$25,'Rango etareo'!$B$10:$B$25,,-1)</f>
        <v>56 - 65</v>
      </c>
      <c r="M335" s="3" t="s">
        <v>21</v>
      </c>
      <c r="N335" s="3" t="str">
        <f>IF(crimenes_cordoba_ampliado[[#This Row],[Género Delincuente]]="Femenino","🚺","🚹")</f>
        <v>🚺</v>
      </c>
      <c r="O335">
        <v>4</v>
      </c>
      <c r="P335" s="1">
        <v>18497</v>
      </c>
      <c r="Q335" s="7">
        <f>INT((crimenes_cordoba_ampliado[[#This Row],[Fecha]]-crimenes_cordoba_ampliado[[#This Row],[Fecha Nac. Víctima]])/365)</f>
        <v>68</v>
      </c>
      <c r="R335" s="7" t="str">
        <f>_xlfn.XLOOKUP(crimenes_cordoba_ampliado[[#This Row],[EDAD VICTIMA]],'Rango etareo'!$A$2:$A$25,'Rango etareo'!$B$2:$B$25,,-1)</f>
        <v>&gt;65</v>
      </c>
      <c r="S335" s="3" t="s">
        <v>22</v>
      </c>
      <c r="T335" s="3" t="str">
        <f>IF(crimenes_cordoba_ampliado[[#This Row],[Género Víctima]]="Masculino","🚹","🚺")</f>
        <v>🚹</v>
      </c>
      <c r="U335">
        <v>3</v>
      </c>
      <c r="V335" s="3" t="s">
        <v>25</v>
      </c>
      <c r="W335" s="3" t="s">
        <v>24</v>
      </c>
      <c r="X335" s="3" t="s">
        <v>24</v>
      </c>
      <c r="Y335" s="3" t="s">
        <v>106</v>
      </c>
      <c r="Z335" s="3" t="s">
        <v>25</v>
      </c>
      <c r="AA335" s="3" t="s">
        <v>25</v>
      </c>
      <c r="AB335" s="3" t="str">
        <f>IF(crimenes_cordoba_ampliado[[#This Row],[Hubo Arresto]]="Sí", "Resuelto", "Pendiente")</f>
        <v>Pendiente</v>
      </c>
      <c r="AC335" s="3" t="s">
        <v>24</v>
      </c>
      <c r="AD335" s="3"/>
    </row>
    <row r="336" spans="1:30" x14ac:dyDescent="0.25">
      <c r="A336">
        <v>309</v>
      </c>
      <c r="B336" s="1">
        <v>44583</v>
      </c>
      <c r="C336" s="33">
        <f t="shared" si="10"/>
        <v>44583</v>
      </c>
      <c r="D336" s="34">
        <f t="shared" si="11"/>
        <v>44583</v>
      </c>
      <c r="E336" s="35" t="s">
        <v>1451</v>
      </c>
      <c r="F336" s="2">
        <v>0.54583333333333328</v>
      </c>
      <c r="G336" s="3" t="s">
        <v>48</v>
      </c>
      <c r="H336" s="3" t="s">
        <v>52</v>
      </c>
      <c r="I336" s="25" t="str">
        <f>VLOOKUP(H336,Tabla5[#All],4,FALSE)</f>
        <v>-31,3477902896523, -64,2644406169297</v>
      </c>
      <c r="J336" s="1">
        <v>37385</v>
      </c>
      <c r="K336" s="7">
        <f>INT((crimenes_cordoba_ampliado[[#This Row],[Fecha]]-crimenes_cordoba_ampliado[[#This Row],[Fecha Nac. Delincuente]])/365)</f>
        <v>19</v>
      </c>
      <c r="L336" s="7" t="str">
        <f>_xlfn.XLOOKUP(crimenes_cordoba_ampliado[[#This Row],[EDAD DELINCUENTE]],'Rango etareo'!$A$10:$A$25,'Rango etareo'!$B$10:$B$25,,-1)</f>
        <v>18 - 25</v>
      </c>
      <c r="M336" s="3" t="s">
        <v>21</v>
      </c>
      <c r="N336" s="3" t="str">
        <f>IF(crimenes_cordoba_ampliado[[#This Row],[Género Delincuente]]="Femenino","🚺","🚹")</f>
        <v>🚺</v>
      </c>
      <c r="O336">
        <v>1</v>
      </c>
      <c r="P336" s="1">
        <v>38309</v>
      </c>
      <c r="Q336" s="7">
        <f>INT((crimenes_cordoba_ampliado[[#This Row],[Fecha]]-crimenes_cordoba_ampliado[[#This Row],[Fecha Nac. Víctima]])/365)</f>
        <v>17</v>
      </c>
      <c r="R336" s="7" t="str">
        <f>_xlfn.XLOOKUP(crimenes_cordoba_ampliado[[#This Row],[EDAD VICTIMA]],'Rango etareo'!$A$2:$A$25,'Rango etareo'!$B$2:$B$25,,-1)</f>
        <v>&lt;=17</v>
      </c>
      <c r="S336" s="3" t="s">
        <v>21</v>
      </c>
      <c r="T336" s="3" t="str">
        <f>IF(crimenes_cordoba_ampliado[[#This Row],[Género Víctima]]="Masculino","🚹","🚺")</f>
        <v>🚺</v>
      </c>
      <c r="U336">
        <v>3</v>
      </c>
      <c r="V336" s="3" t="s">
        <v>23</v>
      </c>
      <c r="W336" s="3" t="s">
        <v>24</v>
      </c>
      <c r="X336" s="3" t="s">
        <v>24</v>
      </c>
      <c r="Y336" s="3" t="s">
        <v>69</v>
      </c>
      <c r="Z336" s="3" t="s">
        <v>25</v>
      </c>
      <c r="AA336" s="3" t="s">
        <v>25</v>
      </c>
      <c r="AB336" s="3" t="str">
        <f>IF(crimenes_cordoba_ampliado[[#This Row],[Hubo Arresto]]="Sí", "Resuelto", "Pendiente")</f>
        <v>Resuelto</v>
      </c>
      <c r="AC336" s="3" t="s">
        <v>208</v>
      </c>
      <c r="AD336" s="3"/>
    </row>
    <row r="337" spans="1:30" x14ac:dyDescent="0.25">
      <c r="A337">
        <v>311</v>
      </c>
      <c r="B337" s="1">
        <v>42964</v>
      </c>
      <c r="C337" s="33">
        <f t="shared" si="10"/>
        <v>42964</v>
      </c>
      <c r="D337" s="34">
        <f t="shared" si="11"/>
        <v>42964</v>
      </c>
      <c r="E337" s="35" t="s">
        <v>1454</v>
      </c>
      <c r="F337" s="2">
        <v>0.71319444444444446</v>
      </c>
      <c r="G337" s="3" t="s">
        <v>42</v>
      </c>
      <c r="H337" s="3" t="s">
        <v>62</v>
      </c>
      <c r="I337" s="25" t="str">
        <f>VLOOKUP(H337,Tabla5[#All],4,FALSE)</f>
        <v>-31,3909520937826, -64,1836424491715</v>
      </c>
      <c r="J337" s="1">
        <v>38139</v>
      </c>
      <c r="K337" s="7">
        <f>INT((crimenes_cordoba_ampliado[[#This Row],[Fecha]]-crimenes_cordoba_ampliado[[#This Row],[Fecha Nac. Delincuente]])/365)</f>
        <v>13</v>
      </c>
      <c r="L337" s="7" t="str">
        <f>_xlfn.XLOOKUP(crimenes_cordoba_ampliado[[#This Row],[EDAD DELINCUENTE]],'Rango etareo'!$A$10:$A$25,'Rango etareo'!$B$10:$B$25,,-1)</f>
        <v>&lt;=17</v>
      </c>
      <c r="M337" s="3" t="s">
        <v>21</v>
      </c>
      <c r="N337" s="3" t="str">
        <f>IF(crimenes_cordoba_ampliado[[#This Row],[Género Delincuente]]="Femenino","🚺","🚹")</f>
        <v>🚺</v>
      </c>
      <c r="O337">
        <v>2</v>
      </c>
      <c r="P337" s="1">
        <v>35270</v>
      </c>
      <c r="Q337" s="7">
        <f>INT((crimenes_cordoba_ampliado[[#This Row],[Fecha]]-crimenes_cordoba_ampliado[[#This Row],[Fecha Nac. Víctima]])/365)</f>
        <v>21</v>
      </c>
      <c r="R337" s="7" t="str">
        <f>_xlfn.XLOOKUP(crimenes_cordoba_ampliado[[#This Row],[EDAD VICTIMA]],'Rango etareo'!$A$2:$A$25,'Rango etareo'!$B$2:$B$25,,-1)</f>
        <v>18 - 25</v>
      </c>
      <c r="S337" s="3" t="s">
        <v>22</v>
      </c>
      <c r="T337" s="3" t="str">
        <f>IF(crimenes_cordoba_ampliado[[#This Row],[Género Víctima]]="Masculino","🚹","🚺")</f>
        <v>🚹</v>
      </c>
      <c r="U337">
        <v>2</v>
      </c>
      <c r="V337" s="3" t="s">
        <v>23</v>
      </c>
      <c r="W337" s="3" t="s">
        <v>24</v>
      </c>
      <c r="X337" s="3" t="s">
        <v>24</v>
      </c>
      <c r="Y337" s="3" t="s">
        <v>43</v>
      </c>
      <c r="Z337" s="3" t="s">
        <v>23</v>
      </c>
      <c r="AA337" s="3" t="s">
        <v>23</v>
      </c>
      <c r="AB337" s="3" t="str">
        <f>IF(crimenes_cordoba_ampliado[[#This Row],[Hubo Arresto]]="Sí", "Resuelto", "Pendiente")</f>
        <v>Resuelto</v>
      </c>
      <c r="AC337" s="3" t="s">
        <v>209</v>
      </c>
      <c r="AD337" s="3"/>
    </row>
    <row r="338" spans="1:30" x14ac:dyDescent="0.25">
      <c r="A338">
        <v>313</v>
      </c>
      <c r="B338" s="1">
        <v>42276</v>
      </c>
      <c r="C338" s="33">
        <f t="shared" si="10"/>
        <v>42276</v>
      </c>
      <c r="D338" s="34">
        <f t="shared" si="11"/>
        <v>42276</v>
      </c>
      <c r="E338" s="35" t="s">
        <v>1453</v>
      </c>
      <c r="F338" s="2">
        <v>1.2500000000000001E-2</v>
      </c>
      <c r="G338" s="3" t="s">
        <v>38</v>
      </c>
      <c r="H338" s="3" t="s">
        <v>70</v>
      </c>
      <c r="I338" s="25" t="str">
        <f>VLOOKUP(H338,Tabla5[#All],4,FALSE)</f>
        <v>-31,3759272890294, -64,2284587792478</v>
      </c>
      <c r="J338" s="1">
        <v>21650</v>
      </c>
      <c r="K338" s="7">
        <f>INT((crimenes_cordoba_ampliado[[#This Row],[Fecha]]-crimenes_cordoba_ampliado[[#This Row],[Fecha Nac. Delincuente]])/365)</f>
        <v>56</v>
      </c>
      <c r="L338" s="7" t="str">
        <f>_xlfn.XLOOKUP(crimenes_cordoba_ampliado[[#This Row],[EDAD DELINCUENTE]],'Rango etareo'!$A$10:$A$25,'Rango etareo'!$B$10:$B$25,,-1)</f>
        <v>56 - 65</v>
      </c>
      <c r="M338" s="3" t="s">
        <v>22</v>
      </c>
      <c r="N338" s="3" t="str">
        <f>IF(crimenes_cordoba_ampliado[[#This Row],[Género Delincuente]]="Femenino","🚺","🚹")</f>
        <v>🚹</v>
      </c>
      <c r="O338">
        <v>5</v>
      </c>
      <c r="P338" s="1">
        <v>16999</v>
      </c>
      <c r="Q338" s="7">
        <f>INT((crimenes_cordoba_ampliado[[#This Row],[Fecha]]-crimenes_cordoba_ampliado[[#This Row],[Fecha Nac. Víctima]])/365)</f>
        <v>69</v>
      </c>
      <c r="R338" s="7" t="str">
        <f>_xlfn.XLOOKUP(crimenes_cordoba_ampliado[[#This Row],[EDAD VICTIMA]],'Rango etareo'!$A$2:$A$25,'Rango etareo'!$B$2:$B$25,,-1)</f>
        <v>&gt;65</v>
      </c>
      <c r="S338" s="3" t="s">
        <v>21</v>
      </c>
      <c r="T338" s="3" t="str">
        <f>IF(crimenes_cordoba_ampliado[[#This Row],[Género Víctima]]="Masculino","🚹","🚺")</f>
        <v>🚺</v>
      </c>
      <c r="U338">
        <v>2</v>
      </c>
      <c r="V338" s="3" t="s">
        <v>23</v>
      </c>
      <c r="W338" s="3" t="s">
        <v>24</v>
      </c>
      <c r="X338" s="3" t="s">
        <v>24</v>
      </c>
      <c r="Y338" s="3" t="s">
        <v>106</v>
      </c>
      <c r="Z338" s="3" t="s">
        <v>25</v>
      </c>
      <c r="AA338" s="3" t="s">
        <v>25</v>
      </c>
      <c r="AB338" s="3" t="str">
        <f>IF(crimenes_cordoba_ampliado[[#This Row],[Hubo Arresto]]="Sí", "Resuelto", "Pendiente")</f>
        <v>Resuelto</v>
      </c>
      <c r="AC338" s="3" t="s">
        <v>68</v>
      </c>
      <c r="AD338" s="3"/>
    </row>
    <row r="339" spans="1:30" x14ac:dyDescent="0.25">
      <c r="A339">
        <v>652</v>
      </c>
      <c r="B339" s="1">
        <v>43378</v>
      </c>
      <c r="C339" s="33">
        <f t="shared" si="10"/>
        <v>43378</v>
      </c>
      <c r="D339" s="34">
        <f t="shared" si="11"/>
        <v>43378</v>
      </c>
      <c r="E339" s="35" t="s">
        <v>1455</v>
      </c>
      <c r="F339" s="2">
        <v>0.82361111111111107</v>
      </c>
      <c r="G339" s="3" t="s">
        <v>79</v>
      </c>
      <c r="H339" s="3" t="s">
        <v>32</v>
      </c>
      <c r="I339" s="25" t="str">
        <f>VLOOKUP(H339,Tabla5[#All],4,FALSE)</f>
        <v>-31,4148488101991, -64,1793406489438</v>
      </c>
      <c r="J339" s="1">
        <v>35966</v>
      </c>
      <c r="K339" s="7">
        <f>INT((crimenes_cordoba_ampliado[[#This Row],[Fecha]]-crimenes_cordoba_ampliado[[#This Row],[Fecha Nac. Delincuente]])/365)</f>
        <v>20</v>
      </c>
      <c r="L339" s="7" t="str">
        <f>_xlfn.XLOOKUP(crimenes_cordoba_ampliado[[#This Row],[EDAD DELINCUENTE]],'Rango etareo'!$A$10:$A$25,'Rango etareo'!$B$10:$B$25,,-1)</f>
        <v>18 - 25</v>
      </c>
      <c r="M339" s="3" t="s">
        <v>22</v>
      </c>
      <c r="N339" s="3" t="str">
        <f>IF(crimenes_cordoba_ampliado[[#This Row],[Género Delincuente]]="Femenino","🚺","🚹")</f>
        <v>🚹</v>
      </c>
      <c r="O339">
        <v>1</v>
      </c>
      <c r="P339" s="1">
        <v>31851</v>
      </c>
      <c r="Q339" s="7">
        <f>INT((crimenes_cordoba_ampliado[[#This Row],[Fecha]]-crimenes_cordoba_ampliado[[#This Row],[Fecha Nac. Víctima]])/365)</f>
        <v>31</v>
      </c>
      <c r="R339" s="7" t="str">
        <f>_xlfn.XLOOKUP(crimenes_cordoba_ampliado[[#This Row],[EDAD VICTIMA]],'Rango etareo'!$A$2:$A$25,'Rango etareo'!$B$2:$B$25,,-1)</f>
        <v>26 - 35</v>
      </c>
      <c r="S339" s="3" t="s">
        <v>22</v>
      </c>
      <c r="T339" s="3" t="str">
        <f>IF(crimenes_cordoba_ampliado[[#This Row],[Género Víctima]]="Masculino","🚹","🚺")</f>
        <v>🚹</v>
      </c>
      <c r="U339">
        <v>1</v>
      </c>
      <c r="V339" s="3" t="s">
        <v>25</v>
      </c>
      <c r="W339" s="3" t="s">
        <v>24</v>
      </c>
      <c r="X339" s="3" t="s">
        <v>24</v>
      </c>
      <c r="Y339" s="3" t="s">
        <v>133</v>
      </c>
      <c r="Z339" s="3" t="s">
        <v>25</v>
      </c>
      <c r="AA339" s="3" t="s">
        <v>23</v>
      </c>
      <c r="AB339" s="3" t="str">
        <f>IF(crimenes_cordoba_ampliado[[#This Row],[Hubo Arresto]]="Sí", "Resuelto", "Pendiente")</f>
        <v>Pendiente</v>
      </c>
      <c r="AC339" s="3" t="s">
        <v>24</v>
      </c>
      <c r="AD339" s="3"/>
    </row>
    <row r="340" spans="1:30" x14ac:dyDescent="0.25">
      <c r="A340">
        <v>338</v>
      </c>
      <c r="B340" s="1">
        <v>43382</v>
      </c>
      <c r="C340" s="33">
        <f t="shared" si="10"/>
        <v>43382</v>
      </c>
      <c r="D340" s="34">
        <f t="shared" si="11"/>
        <v>43382</v>
      </c>
      <c r="E340" s="35" t="s">
        <v>1453</v>
      </c>
      <c r="F340" s="2">
        <v>0.63194444444444442</v>
      </c>
      <c r="G340" s="3" t="s">
        <v>48</v>
      </c>
      <c r="H340" s="3" t="s">
        <v>32</v>
      </c>
      <c r="I340" s="25" t="str">
        <f>VLOOKUP(H340,Tabla5[#All],4,FALSE)</f>
        <v>-31,4148488101991, -64,1793406489438</v>
      </c>
      <c r="J340" s="1">
        <v>38021</v>
      </c>
      <c r="K340" s="7">
        <f>INT((crimenes_cordoba_ampliado[[#This Row],[Fecha]]-crimenes_cordoba_ampliado[[#This Row],[Fecha Nac. Delincuente]])/365)</f>
        <v>14</v>
      </c>
      <c r="L340" s="7" t="str">
        <f>_xlfn.XLOOKUP(crimenes_cordoba_ampliado[[#This Row],[EDAD DELINCUENTE]],'Rango etareo'!$A$10:$A$25,'Rango etareo'!$B$10:$B$25,,-1)</f>
        <v>&lt;=17</v>
      </c>
      <c r="M340" s="3" t="s">
        <v>22</v>
      </c>
      <c r="N340" s="3" t="str">
        <f>IF(crimenes_cordoba_ampliado[[#This Row],[Género Delincuente]]="Femenino","🚺","🚹")</f>
        <v>🚹</v>
      </c>
      <c r="O340">
        <v>2</v>
      </c>
      <c r="P340" s="1">
        <v>41347</v>
      </c>
      <c r="Q340" s="7">
        <f>INT((crimenes_cordoba_ampliado[[#This Row],[Fecha]]-crimenes_cordoba_ampliado[[#This Row],[Fecha Nac. Víctima]])/365)</f>
        <v>5</v>
      </c>
      <c r="R340" s="7" t="str">
        <f>_xlfn.XLOOKUP(crimenes_cordoba_ampliado[[#This Row],[EDAD VICTIMA]],'Rango etareo'!$A$2:$A$25,'Rango etareo'!$B$2:$B$25,,-1)</f>
        <v>&lt;=17</v>
      </c>
      <c r="S340" s="3" t="s">
        <v>22</v>
      </c>
      <c r="T340" s="3" t="str">
        <f>IF(crimenes_cordoba_ampliado[[#This Row],[Género Víctima]]="Masculino","🚹","🚺")</f>
        <v>🚹</v>
      </c>
      <c r="U340">
        <v>1</v>
      </c>
      <c r="V340" s="3" t="s">
        <v>25</v>
      </c>
      <c r="W340" s="3" t="s">
        <v>24</v>
      </c>
      <c r="X340" s="3" t="s">
        <v>24</v>
      </c>
      <c r="Y340" s="3" t="s">
        <v>89</v>
      </c>
      <c r="Z340" s="3" t="s">
        <v>23</v>
      </c>
      <c r="AA340" s="3" t="s">
        <v>23</v>
      </c>
      <c r="AB340" s="3" t="str">
        <f>IF(crimenes_cordoba_ampliado[[#This Row],[Hubo Arresto]]="Sí", "Resuelto", "Pendiente")</f>
        <v>Pendiente</v>
      </c>
      <c r="AC340" s="3" t="s">
        <v>24</v>
      </c>
      <c r="AD340" s="3"/>
    </row>
    <row r="341" spans="1:30" x14ac:dyDescent="0.25">
      <c r="A341">
        <v>895</v>
      </c>
      <c r="B341" s="1">
        <v>43385</v>
      </c>
      <c r="C341" s="33">
        <f t="shared" si="10"/>
        <v>43385</v>
      </c>
      <c r="D341" s="34">
        <f t="shared" si="11"/>
        <v>43385</v>
      </c>
      <c r="E341" s="35" t="s">
        <v>1455</v>
      </c>
      <c r="F341" s="2">
        <v>0.19722222222222222</v>
      </c>
      <c r="G341" s="3" t="s">
        <v>48</v>
      </c>
      <c r="H341" s="3" t="s">
        <v>70</v>
      </c>
      <c r="I341" s="25" t="str">
        <f>VLOOKUP(H341,Tabla5[#All],4,FALSE)</f>
        <v>-31,3759272890294, -64,2284587792478</v>
      </c>
      <c r="J341" s="1">
        <v>27687</v>
      </c>
      <c r="K341" s="7">
        <f>INT((crimenes_cordoba_ampliado[[#This Row],[Fecha]]-crimenes_cordoba_ampliado[[#This Row],[Fecha Nac. Delincuente]])/365)</f>
        <v>43</v>
      </c>
      <c r="L341" s="7" t="str">
        <f>_xlfn.XLOOKUP(crimenes_cordoba_ampliado[[#This Row],[EDAD DELINCUENTE]],'Rango etareo'!$A$10:$A$25,'Rango etareo'!$B$10:$B$25,,-1)</f>
        <v>36 - 45</v>
      </c>
      <c r="M341" s="3" t="s">
        <v>22</v>
      </c>
      <c r="N341" s="3" t="str">
        <f>IF(crimenes_cordoba_ampliado[[#This Row],[Género Delincuente]]="Femenino","🚺","🚹")</f>
        <v>🚹</v>
      </c>
      <c r="O341">
        <v>4</v>
      </c>
      <c r="P341" s="1">
        <v>16634</v>
      </c>
      <c r="Q341" s="7">
        <f>INT((crimenes_cordoba_ampliado[[#This Row],[Fecha]]-crimenes_cordoba_ampliado[[#This Row],[Fecha Nac. Víctima]])/365)</f>
        <v>73</v>
      </c>
      <c r="R341" s="7" t="str">
        <f>_xlfn.XLOOKUP(crimenes_cordoba_ampliado[[#This Row],[EDAD VICTIMA]],'Rango etareo'!$A$2:$A$25,'Rango etareo'!$B$2:$B$25,,-1)</f>
        <v>&gt;65</v>
      </c>
      <c r="S341" s="3" t="s">
        <v>21</v>
      </c>
      <c r="T341" s="3" t="str">
        <f>IF(crimenes_cordoba_ampliado[[#This Row],[Género Víctima]]="Masculino","🚹","🚺")</f>
        <v>🚺</v>
      </c>
      <c r="U341">
        <v>1</v>
      </c>
      <c r="V341" s="3" t="s">
        <v>25</v>
      </c>
      <c r="W341" s="3" t="s">
        <v>24</v>
      </c>
      <c r="X341" s="3" t="s">
        <v>24</v>
      </c>
      <c r="Y341" s="3" t="s">
        <v>46</v>
      </c>
      <c r="Z341" s="3" t="s">
        <v>25</v>
      </c>
      <c r="AA341" s="3" t="s">
        <v>23</v>
      </c>
      <c r="AB341" s="3" t="str">
        <f>IF(crimenes_cordoba_ampliado[[#This Row],[Hubo Arresto]]="Sí", "Resuelto", "Pendiente")</f>
        <v>Pendiente</v>
      </c>
      <c r="AC341" s="3" t="s">
        <v>24</v>
      </c>
      <c r="AD341" s="3"/>
    </row>
    <row r="342" spans="1:30" x14ac:dyDescent="0.25">
      <c r="A342">
        <v>314</v>
      </c>
      <c r="B342" s="1">
        <v>43708</v>
      </c>
      <c r="C342" s="33">
        <f t="shared" si="10"/>
        <v>43708</v>
      </c>
      <c r="D342" s="34">
        <f t="shared" si="11"/>
        <v>43708</v>
      </c>
      <c r="E342" s="35" t="s">
        <v>1451</v>
      </c>
      <c r="F342" s="2">
        <v>0.39583333333333331</v>
      </c>
      <c r="G342" s="3" t="s">
        <v>81</v>
      </c>
      <c r="H342" s="3" t="s">
        <v>49</v>
      </c>
      <c r="I342" s="25" t="str">
        <f>VLOOKUP(H342,Tabla5[#All],4,FALSE)</f>
        <v>-31,4506257494184, -64,1733054344705</v>
      </c>
      <c r="J342" s="1">
        <v>25813</v>
      </c>
      <c r="K342" s="7">
        <f>INT((crimenes_cordoba_ampliado[[#This Row],[Fecha]]-crimenes_cordoba_ampliado[[#This Row],[Fecha Nac. Delincuente]])/365)</f>
        <v>49</v>
      </c>
      <c r="L342" s="7" t="str">
        <f>_xlfn.XLOOKUP(crimenes_cordoba_ampliado[[#This Row],[EDAD DELINCUENTE]],'Rango etareo'!$A$10:$A$25,'Rango etareo'!$B$10:$B$25,,-1)</f>
        <v>46 - 55</v>
      </c>
      <c r="M342" s="3" t="s">
        <v>22</v>
      </c>
      <c r="N342" s="3" t="str">
        <f>IF(crimenes_cordoba_ampliado[[#This Row],[Género Delincuente]]="Femenino","🚺","🚹")</f>
        <v>🚹</v>
      </c>
      <c r="O342">
        <v>1</v>
      </c>
      <c r="P342" s="1">
        <v>22423</v>
      </c>
      <c r="Q342" s="7">
        <f>INT((crimenes_cordoba_ampliado[[#This Row],[Fecha]]-crimenes_cordoba_ampliado[[#This Row],[Fecha Nac. Víctima]])/365)</f>
        <v>58</v>
      </c>
      <c r="R342" s="7" t="str">
        <f>_xlfn.XLOOKUP(crimenes_cordoba_ampliado[[#This Row],[EDAD VICTIMA]],'Rango etareo'!$A$2:$A$25,'Rango etareo'!$B$2:$B$25,,-1)</f>
        <v>56 - 65</v>
      </c>
      <c r="S342" s="3" t="s">
        <v>21</v>
      </c>
      <c r="T342" s="3" t="str">
        <f>IF(crimenes_cordoba_ampliado[[#This Row],[Género Víctima]]="Masculino","🚹","🚺")</f>
        <v>🚺</v>
      </c>
      <c r="U342">
        <v>3</v>
      </c>
      <c r="V342" s="3" t="s">
        <v>23</v>
      </c>
      <c r="W342" s="3" t="s">
        <v>24</v>
      </c>
      <c r="X342" s="3" t="s">
        <v>24</v>
      </c>
      <c r="Y342" s="3" t="s">
        <v>69</v>
      </c>
      <c r="Z342" s="3" t="s">
        <v>25</v>
      </c>
      <c r="AA342" s="3" t="s">
        <v>25</v>
      </c>
      <c r="AB342" s="3" t="str">
        <f>IF(crimenes_cordoba_ampliado[[#This Row],[Hubo Arresto]]="Sí", "Resuelto", "Pendiente")</f>
        <v>Resuelto</v>
      </c>
      <c r="AC342" s="3" t="s">
        <v>210</v>
      </c>
      <c r="AD342" s="3"/>
    </row>
    <row r="343" spans="1:30" x14ac:dyDescent="0.25">
      <c r="A343">
        <v>315</v>
      </c>
      <c r="B343" s="1">
        <v>42175</v>
      </c>
      <c r="C343" s="33">
        <f t="shared" si="10"/>
        <v>42175</v>
      </c>
      <c r="D343" s="34">
        <f t="shared" si="11"/>
        <v>42175</v>
      </c>
      <c r="E343" s="35" t="s">
        <v>1451</v>
      </c>
      <c r="F343" s="2">
        <v>0.19027777777777777</v>
      </c>
      <c r="G343" s="3" t="s">
        <v>48</v>
      </c>
      <c r="H343" s="3" t="s">
        <v>70</v>
      </c>
      <c r="I343" s="25" t="str">
        <f>VLOOKUP(H343,Tabla5[#All],4,FALSE)</f>
        <v>-31,3759272890294, -64,2284587792478</v>
      </c>
      <c r="J343" s="1">
        <v>32024</v>
      </c>
      <c r="K343" s="7">
        <f>INT((crimenes_cordoba_ampliado[[#This Row],[Fecha]]-crimenes_cordoba_ampliado[[#This Row],[Fecha Nac. Delincuente]])/365)</f>
        <v>27</v>
      </c>
      <c r="L343" s="7" t="str">
        <f>_xlfn.XLOOKUP(crimenes_cordoba_ampliado[[#This Row],[EDAD DELINCUENTE]],'Rango etareo'!$A$10:$A$25,'Rango etareo'!$B$10:$B$25,,-1)</f>
        <v>26 - 35</v>
      </c>
      <c r="M343" s="3" t="s">
        <v>22</v>
      </c>
      <c r="N343" s="3" t="str">
        <f>IF(crimenes_cordoba_ampliado[[#This Row],[Género Delincuente]]="Femenino","🚺","🚹")</f>
        <v>🚹</v>
      </c>
      <c r="O343">
        <v>4</v>
      </c>
      <c r="P343" s="1">
        <v>31242</v>
      </c>
      <c r="Q343" s="7">
        <f>INT((crimenes_cordoba_ampliado[[#This Row],[Fecha]]-crimenes_cordoba_ampliado[[#This Row],[Fecha Nac. Víctima]])/365)</f>
        <v>29</v>
      </c>
      <c r="R343" s="7" t="str">
        <f>_xlfn.XLOOKUP(crimenes_cordoba_ampliado[[#This Row],[EDAD VICTIMA]],'Rango etareo'!$A$2:$A$25,'Rango etareo'!$B$2:$B$25,,-1)</f>
        <v>26 - 35</v>
      </c>
      <c r="S343" s="3" t="s">
        <v>22</v>
      </c>
      <c r="T343" s="3" t="str">
        <f>IF(crimenes_cordoba_ampliado[[#This Row],[Género Víctima]]="Masculino","🚹","🚺")</f>
        <v>🚹</v>
      </c>
      <c r="U343">
        <v>2</v>
      </c>
      <c r="V343" s="3" t="s">
        <v>23</v>
      </c>
      <c r="W343" s="3" t="s">
        <v>24</v>
      </c>
      <c r="X343" s="3" t="s">
        <v>24</v>
      </c>
      <c r="Y343" s="3" t="s">
        <v>24</v>
      </c>
      <c r="Z343" s="3" t="s">
        <v>25</v>
      </c>
      <c r="AA343" s="3" t="s">
        <v>25</v>
      </c>
      <c r="AB343" s="3" t="str">
        <f>IF(crimenes_cordoba_ampliado[[#This Row],[Hubo Arresto]]="Sí", "Resuelto", "Pendiente")</f>
        <v>Resuelto</v>
      </c>
      <c r="AC343" s="3" t="s">
        <v>211</v>
      </c>
      <c r="AD343" s="3"/>
    </row>
    <row r="344" spans="1:30" x14ac:dyDescent="0.25">
      <c r="A344">
        <v>169</v>
      </c>
      <c r="B344" s="1">
        <v>43401</v>
      </c>
      <c r="C344" s="33">
        <f t="shared" si="10"/>
        <v>43401</v>
      </c>
      <c r="D344" s="34">
        <f t="shared" si="11"/>
        <v>43401</v>
      </c>
      <c r="E344" s="35" t="s">
        <v>1449</v>
      </c>
      <c r="F344" s="2">
        <v>0.53194444444444444</v>
      </c>
      <c r="G344" s="3" t="s">
        <v>48</v>
      </c>
      <c r="H344" s="3" t="s">
        <v>70</v>
      </c>
      <c r="I344" s="25" t="str">
        <f>VLOOKUP(H344,Tabla5[#All],4,FALSE)</f>
        <v>-31,3759272890294, -64,2284587792478</v>
      </c>
      <c r="J344" s="1">
        <v>22062</v>
      </c>
      <c r="K344" s="7">
        <f>INT((crimenes_cordoba_ampliado[[#This Row],[Fecha]]-crimenes_cordoba_ampliado[[#This Row],[Fecha Nac. Delincuente]])/365)</f>
        <v>58</v>
      </c>
      <c r="L344" s="7" t="str">
        <f>_xlfn.XLOOKUP(crimenes_cordoba_ampliado[[#This Row],[EDAD DELINCUENTE]],'Rango etareo'!$A$10:$A$25,'Rango etareo'!$B$10:$B$25,,-1)</f>
        <v>56 - 65</v>
      </c>
      <c r="M344" s="3" t="s">
        <v>21</v>
      </c>
      <c r="N344" s="3" t="str">
        <f>IF(crimenes_cordoba_ampliado[[#This Row],[Género Delincuente]]="Femenino","🚺","🚹")</f>
        <v>🚺</v>
      </c>
      <c r="O344">
        <v>1</v>
      </c>
      <c r="P344" s="1">
        <v>21467</v>
      </c>
      <c r="Q344" s="7">
        <f>INT((crimenes_cordoba_ampliado[[#This Row],[Fecha]]-crimenes_cordoba_ampliado[[#This Row],[Fecha Nac. Víctima]])/365)</f>
        <v>60</v>
      </c>
      <c r="R344" s="7" t="str">
        <f>_xlfn.XLOOKUP(crimenes_cordoba_ampliado[[#This Row],[EDAD VICTIMA]],'Rango etareo'!$A$2:$A$25,'Rango etareo'!$B$2:$B$25,,-1)</f>
        <v>56 - 65</v>
      </c>
      <c r="S344" s="3" t="s">
        <v>22</v>
      </c>
      <c r="T344" s="3" t="str">
        <f>IF(crimenes_cordoba_ampliado[[#This Row],[Género Víctima]]="Masculino","🚹","🚺")</f>
        <v>🚹</v>
      </c>
      <c r="U344">
        <v>2</v>
      </c>
      <c r="V344" s="3" t="s">
        <v>25</v>
      </c>
      <c r="W344" s="3" t="s">
        <v>24</v>
      </c>
      <c r="X344" s="3" t="s">
        <v>24</v>
      </c>
      <c r="Y344" s="3" t="s">
        <v>72</v>
      </c>
      <c r="Z344" s="3" t="s">
        <v>23</v>
      </c>
      <c r="AA344" s="3" t="s">
        <v>23</v>
      </c>
      <c r="AB344" s="3" t="str">
        <f>IF(crimenes_cordoba_ampliado[[#This Row],[Hubo Arresto]]="Sí", "Resuelto", "Pendiente")</f>
        <v>Pendiente</v>
      </c>
      <c r="AC344" s="3" t="s">
        <v>24</v>
      </c>
      <c r="AD344" s="3"/>
    </row>
    <row r="345" spans="1:30" x14ac:dyDescent="0.25">
      <c r="A345">
        <v>317</v>
      </c>
      <c r="B345" s="1">
        <v>43847</v>
      </c>
      <c r="C345" s="33">
        <f t="shared" si="10"/>
        <v>43847</v>
      </c>
      <c r="D345" s="34">
        <f t="shared" si="11"/>
        <v>43847</v>
      </c>
      <c r="E345" s="35" t="s">
        <v>1455</v>
      </c>
      <c r="F345" s="2">
        <v>0.9770833333333333</v>
      </c>
      <c r="G345" s="3" t="s">
        <v>19</v>
      </c>
      <c r="H345" s="3" t="s">
        <v>58</v>
      </c>
      <c r="I345" s="25" t="str">
        <f>VLOOKUP(H345,Tabla5[#All],4,FALSE)</f>
        <v>-31,423018915313, -64,1493562190664</v>
      </c>
      <c r="J345" s="1">
        <v>25510</v>
      </c>
      <c r="K345" s="7">
        <f>INT((crimenes_cordoba_ampliado[[#This Row],[Fecha]]-crimenes_cordoba_ampliado[[#This Row],[Fecha Nac. Delincuente]])/365)</f>
        <v>50</v>
      </c>
      <c r="L345" s="7" t="str">
        <f>_xlfn.XLOOKUP(crimenes_cordoba_ampliado[[#This Row],[EDAD DELINCUENTE]],'Rango etareo'!$A$10:$A$25,'Rango etareo'!$B$10:$B$25,,-1)</f>
        <v>46 - 55</v>
      </c>
      <c r="M345" s="3" t="s">
        <v>21</v>
      </c>
      <c r="N345" s="3" t="str">
        <f>IF(crimenes_cordoba_ampliado[[#This Row],[Género Delincuente]]="Femenino","🚺","🚹")</f>
        <v>🚺</v>
      </c>
      <c r="O345">
        <v>1</v>
      </c>
      <c r="P345" s="1">
        <v>34900</v>
      </c>
      <c r="Q345" s="7">
        <f>INT((crimenes_cordoba_ampliado[[#This Row],[Fecha]]-crimenes_cordoba_ampliado[[#This Row],[Fecha Nac. Víctima]])/365)</f>
        <v>24</v>
      </c>
      <c r="R345" s="7" t="str">
        <f>_xlfn.XLOOKUP(crimenes_cordoba_ampliado[[#This Row],[EDAD VICTIMA]],'Rango etareo'!$A$2:$A$25,'Rango etareo'!$B$2:$B$25,,-1)</f>
        <v>18 - 25</v>
      </c>
      <c r="S345" s="3" t="s">
        <v>21</v>
      </c>
      <c r="T345" s="3" t="str">
        <f>IF(crimenes_cordoba_ampliado[[#This Row],[Género Víctima]]="Masculino","🚹","🚺")</f>
        <v>🚺</v>
      </c>
      <c r="U345">
        <v>1</v>
      </c>
      <c r="V345" s="3" t="s">
        <v>23</v>
      </c>
      <c r="W345" s="3" t="s">
        <v>24</v>
      </c>
      <c r="X345" s="3" t="s">
        <v>24</v>
      </c>
      <c r="Y345" s="3" t="s">
        <v>24</v>
      </c>
      <c r="Z345" s="3" t="s">
        <v>25</v>
      </c>
      <c r="AA345" s="3" t="s">
        <v>23</v>
      </c>
      <c r="AB345" s="3" t="str">
        <f>IF(crimenes_cordoba_ampliado[[#This Row],[Hubo Arresto]]="Sí", "Resuelto", "Pendiente")</f>
        <v>Resuelto</v>
      </c>
      <c r="AC345" s="3" t="s">
        <v>182</v>
      </c>
      <c r="AD345" s="3"/>
    </row>
    <row r="346" spans="1:30" x14ac:dyDescent="0.25">
      <c r="A346">
        <v>117</v>
      </c>
      <c r="B346" s="1">
        <v>43412</v>
      </c>
      <c r="C346" s="33">
        <f t="shared" si="10"/>
        <v>43412</v>
      </c>
      <c r="D346" s="34">
        <f t="shared" si="11"/>
        <v>43412</v>
      </c>
      <c r="E346" s="35" t="s">
        <v>1454</v>
      </c>
      <c r="F346" s="2">
        <v>0.82013888888888886</v>
      </c>
      <c r="G346" s="3" t="s">
        <v>79</v>
      </c>
      <c r="H346" s="3" t="s">
        <v>60</v>
      </c>
      <c r="I346" s="25" t="str">
        <f>VLOOKUP(H346,Tabla5[#All],4,FALSE)</f>
        <v>-31,4076397196409, -64,2020170430678</v>
      </c>
      <c r="J346" s="1">
        <v>38315</v>
      </c>
      <c r="K346" s="7">
        <f>INT((crimenes_cordoba_ampliado[[#This Row],[Fecha]]-crimenes_cordoba_ampliado[[#This Row],[Fecha Nac. Delincuente]])/365)</f>
        <v>13</v>
      </c>
      <c r="L346" s="7" t="str">
        <f>_xlfn.XLOOKUP(crimenes_cordoba_ampliado[[#This Row],[EDAD DELINCUENTE]],'Rango etareo'!$A$10:$A$25,'Rango etareo'!$B$10:$B$25,,-1)</f>
        <v>&lt;=17</v>
      </c>
      <c r="M346" s="3" t="s">
        <v>22</v>
      </c>
      <c r="N346" s="3" t="str">
        <f>IF(crimenes_cordoba_ampliado[[#This Row],[Género Delincuente]]="Femenino","🚺","🚹")</f>
        <v>🚹</v>
      </c>
      <c r="O346">
        <v>4</v>
      </c>
      <c r="P346" s="1">
        <v>16885</v>
      </c>
      <c r="Q346" s="7">
        <f>INT((crimenes_cordoba_ampliado[[#This Row],[Fecha]]-crimenes_cordoba_ampliado[[#This Row],[Fecha Nac. Víctima]])/365)</f>
        <v>72</v>
      </c>
      <c r="R346" s="7" t="str">
        <f>_xlfn.XLOOKUP(crimenes_cordoba_ampliado[[#This Row],[EDAD VICTIMA]],'Rango etareo'!$A$2:$A$25,'Rango etareo'!$B$2:$B$25,,-1)</f>
        <v>&gt;65</v>
      </c>
      <c r="S346" s="3" t="s">
        <v>22</v>
      </c>
      <c r="T346" s="3" t="str">
        <f>IF(crimenes_cordoba_ampliado[[#This Row],[Género Víctima]]="Masculino","🚹","🚺")</f>
        <v>🚹</v>
      </c>
      <c r="U346">
        <v>2</v>
      </c>
      <c r="V346" s="3" t="s">
        <v>25</v>
      </c>
      <c r="W346" s="3" t="s">
        <v>71</v>
      </c>
      <c r="X346" s="3" t="s">
        <v>50</v>
      </c>
      <c r="Y346" s="3" t="s">
        <v>24</v>
      </c>
      <c r="Z346" s="3" t="s">
        <v>23</v>
      </c>
      <c r="AA346" s="3" t="s">
        <v>25</v>
      </c>
      <c r="AB346" s="3" t="str">
        <f>IF(crimenes_cordoba_ampliado[[#This Row],[Hubo Arresto]]="Sí", "Resuelto", "Pendiente")</f>
        <v>Pendiente</v>
      </c>
      <c r="AC346" s="3" t="s">
        <v>24</v>
      </c>
      <c r="AD346" s="3"/>
    </row>
    <row r="347" spans="1:30" x14ac:dyDescent="0.25">
      <c r="A347">
        <v>322</v>
      </c>
      <c r="B347" s="1">
        <v>43412</v>
      </c>
      <c r="C347" s="33">
        <f t="shared" si="10"/>
        <v>43412</v>
      </c>
      <c r="D347" s="34">
        <f t="shared" si="11"/>
        <v>43412</v>
      </c>
      <c r="E347" s="35" t="s">
        <v>1454</v>
      </c>
      <c r="F347" s="2">
        <v>0.56805555555555554</v>
      </c>
      <c r="G347" s="3" t="s">
        <v>45</v>
      </c>
      <c r="H347" s="3" t="s">
        <v>62</v>
      </c>
      <c r="I347" s="25" t="str">
        <f>VLOOKUP(H347,Tabla5[#All],4,FALSE)</f>
        <v>-31,3909520937826, -64,1836424491715</v>
      </c>
      <c r="J347" s="1">
        <v>22741</v>
      </c>
      <c r="K347" s="7">
        <f>INT((crimenes_cordoba_ampliado[[#This Row],[Fecha]]-crimenes_cordoba_ampliado[[#This Row],[Fecha Nac. Delincuente]])/365)</f>
        <v>56</v>
      </c>
      <c r="L347" s="7" t="str">
        <f>_xlfn.XLOOKUP(crimenes_cordoba_ampliado[[#This Row],[EDAD DELINCUENTE]],'Rango etareo'!$A$10:$A$25,'Rango etareo'!$B$10:$B$25,,-1)</f>
        <v>56 - 65</v>
      </c>
      <c r="M347" s="3" t="s">
        <v>22</v>
      </c>
      <c r="N347" s="3" t="str">
        <f>IF(crimenes_cordoba_ampliado[[#This Row],[Género Delincuente]]="Femenino","🚺","🚹")</f>
        <v>🚹</v>
      </c>
      <c r="O347">
        <v>4</v>
      </c>
      <c r="P347" s="1">
        <v>40238</v>
      </c>
      <c r="Q347" s="7">
        <f>INT((crimenes_cordoba_ampliado[[#This Row],[Fecha]]-crimenes_cordoba_ampliado[[#This Row],[Fecha Nac. Víctima]])/365)</f>
        <v>8</v>
      </c>
      <c r="R347" s="7" t="str">
        <f>_xlfn.XLOOKUP(crimenes_cordoba_ampliado[[#This Row],[EDAD VICTIMA]],'Rango etareo'!$A$2:$A$25,'Rango etareo'!$B$2:$B$25,,-1)</f>
        <v>&lt;=17</v>
      </c>
      <c r="S347" s="3" t="s">
        <v>22</v>
      </c>
      <c r="T347" s="3" t="str">
        <f>IF(crimenes_cordoba_ampliado[[#This Row],[Género Víctima]]="Masculino","🚹","🚺")</f>
        <v>🚹</v>
      </c>
      <c r="U347">
        <v>3</v>
      </c>
      <c r="V347" s="3" t="s">
        <v>25</v>
      </c>
      <c r="W347" s="3" t="s">
        <v>24</v>
      </c>
      <c r="X347" s="3" t="s">
        <v>24</v>
      </c>
      <c r="Y347" s="3" t="s">
        <v>43</v>
      </c>
      <c r="Z347" s="3" t="s">
        <v>25</v>
      </c>
      <c r="AA347" s="3" t="s">
        <v>25</v>
      </c>
      <c r="AB347" s="3" t="str">
        <f>IF(crimenes_cordoba_ampliado[[#This Row],[Hubo Arresto]]="Sí", "Resuelto", "Pendiente")</f>
        <v>Pendiente</v>
      </c>
      <c r="AC347" s="3" t="s">
        <v>24</v>
      </c>
      <c r="AD347" s="3"/>
    </row>
    <row r="348" spans="1:30" x14ac:dyDescent="0.25">
      <c r="A348">
        <v>323</v>
      </c>
      <c r="B348" s="1">
        <v>44981</v>
      </c>
      <c r="C348" s="33">
        <f t="shared" si="10"/>
        <v>44981</v>
      </c>
      <c r="D348" s="34">
        <f t="shared" si="11"/>
        <v>44981</v>
      </c>
      <c r="E348" s="35" t="s">
        <v>1455</v>
      </c>
      <c r="F348" s="2">
        <v>0.9145833333333333</v>
      </c>
      <c r="G348" s="3" t="s">
        <v>35</v>
      </c>
      <c r="H348" s="3" t="s">
        <v>60</v>
      </c>
      <c r="I348" s="25" t="str">
        <f>VLOOKUP(H348,Tabla5[#All],4,FALSE)</f>
        <v>-31,4076397196409, -64,2020170430678</v>
      </c>
      <c r="J348" s="1">
        <v>28590</v>
      </c>
      <c r="K348" s="7">
        <f>INT((crimenes_cordoba_ampliado[[#This Row],[Fecha]]-crimenes_cordoba_ampliado[[#This Row],[Fecha Nac. Delincuente]])/365)</f>
        <v>44</v>
      </c>
      <c r="L348" s="7" t="str">
        <f>_xlfn.XLOOKUP(crimenes_cordoba_ampliado[[#This Row],[EDAD DELINCUENTE]],'Rango etareo'!$A$10:$A$25,'Rango etareo'!$B$10:$B$25,,-1)</f>
        <v>36 - 45</v>
      </c>
      <c r="M348" s="3" t="s">
        <v>21</v>
      </c>
      <c r="N348" s="3" t="str">
        <f>IF(crimenes_cordoba_ampliado[[#This Row],[Género Delincuente]]="Femenino","🚺","🚹")</f>
        <v>🚺</v>
      </c>
      <c r="O348">
        <v>4</v>
      </c>
      <c r="P348" s="1">
        <v>39661</v>
      </c>
      <c r="Q348" s="7">
        <f>INT((crimenes_cordoba_ampliado[[#This Row],[Fecha]]-crimenes_cordoba_ampliado[[#This Row],[Fecha Nac. Víctima]])/365)</f>
        <v>14</v>
      </c>
      <c r="R348" s="7" t="str">
        <f>_xlfn.XLOOKUP(crimenes_cordoba_ampliado[[#This Row],[EDAD VICTIMA]],'Rango etareo'!$A$2:$A$25,'Rango etareo'!$B$2:$B$25,,-1)</f>
        <v>&lt;=17</v>
      </c>
      <c r="S348" s="3" t="s">
        <v>21</v>
      </c>
      <c r="T348" s="3" t="str">
        <f>IF(crimenes_cordoba_ampliado[[#This Row],[Género Víctima]]="Masculino","🚹","🚺")</f>
        <v>🚺</v>
      </c>
      <c r="U348">
        <v>1</v>
      </c>
      <c r="V348" s="3" t="s">
        <v>23</v>
      </c>
      <c r="W348" s="3" t="s">
        <v>36</v>
      </c>
      <c r="X348" s="3" t="s">
        <v>29</v>
      </c>
      <c r="Y348" s="3" t="s">
        <v>24</v>
      </c>
      <c r="Z348" s="3" t="s">
        <v>25</v>
      </c>
      <c r="AA348" s="3" t="s">
        <v>25</v>
      </c>
      <c r="AB348" s="3" t="str">
        <f>IF(crimenes_cordoba_ampliado[[#This Row],[Hubo Arresto]]="Sí", "Resuelto", "Pendiente")</f>
        <v>Resuelto</v>
      </c>
      <c r="AC348" s="3" t="s">
        <v>57</v>
      </c>
      <c r="AD348" s="3"/>
    </row>
    <row r="349" spans="1:30" x14ac:dyDescent="0.25">
      <c r="A349">
        <v>325</v>
      </c>
      <c r="B349" s="1">
        <v>45191</v>
      </c>
      <c r="C349" s="33">
        <f t="shared" si="10"/>
        <v>45191</v>
      </c>
      <c r="D349" s="34">
        <f t="shared" si="11"/>
        <v>45191</v>
      </c>
      <c r="E349" s="35" t="s">
        <v>1455</v>
      </c>
      <c r="F349" s="2">
        <v>0.34375</v>
      </c>
      <c r="G349" s="3" t="s">
        <v>54</v>
      </c>
      <c r="H349" s="3" t="s">
        <v>60</v>
      </c>
      <c r="I349" s="25" t="str">
        <f>VLOOKUP(H349,Tabla5[#All],4,FALSE)</f>
        <v>-31,4076397196409, -64,2020170430678</v>
      </c>
      <c r="J349" s="1">
        <v>28170</v>
      </c>
      <c r="K349" s="7">
        <f>INT((crimenes_cordoba_ampliado[[#This Row],[Fecha]]-crimenes_cordoba_ampliado[[#This Row],[Fecha Nac. Delincuente]])/365)</f>
        <v>46</v>
      </c>
      <c r="L349" s="7" t="str">
        <f>_xlfn.XLOOKUP(crimenes_cordoba_ampliado[[#This Row],[EDAD DELINCUENTE]],'Rango etareo'!$A$10:$A$25,'Rango etareo'!$B$10:$B$25,,-1)</f>
        <v>46 - 55</v>
      </c>
      <c r="M349" s="3" t="s">
        <v>21</v>
      </c>
      <c r="N349" s="3" t="str">
        <f>IF(crimenes_cordoba_ampliado[[#This Row],[Género Delincuente]]="Femenino","🚺","🚹")</f>
        <v>🚺</v>
      </c>
      <c r="O349">
        <v>3</v>
      </c>
      <c r="P349" s="1">
        <v>41871</v>
      </c>
      <c r="Q349" s="7">
        <f>INT((crimenes_cordoba_ampliado[[#This Row],[Fecha]]-crimenes_cordoba_ampliado[[#This Row],[Fecha Nac. Víctima]])/365)</f>
        <v>9</v>
      </c>
      <c r="R349" s="7" t="str">
        <f>_xlfn.XLOOKUP(crimenes_cordoba_ampliado[[#This Row],[EDAD VICTIMA]],'Rango etareo'!$A$2:$A$25,'Rango etareo'!$B$2:$B$25,,-1)</f>
        <v>&lt;=17</v>
      </c>
      <c r="S349" s="3" t="s">
        <v>22</v>
      </c>
      <c r="T349" s="3" t="str">
        <f>IF(crimenes_cordoba_ampliado[[#This Row],[Género Víctima]]="Masculino","🚹","🚺")</f>
        <v>🚹</v>
      </c>
      <c r="U349">
        <v>3</v>
      </c>
      <c r="V349" s="3" t="s">
        <v>23</v>
      </c>
      <c r="W349" s="3" t="s">
        <v>24</v>
      </c>
      <c r="X349" s="3" t="s">
        <v>24</v>
      </c>
      <c r="Y349" s="3" t="s">
        <v>46</v>
      </c>
      <c r="Z349" s="3" t="s">
        <v>23</v>
      </c>
      <c r="AA349" s="3" t="s">
        <v>23</v>
      </c>
      <c r="AB349" s="3" t="str">
        <f>IF(crimenes_cordoba_ampliado[[#This Row],[Hubo Arresto]]="Sí", "Resuelto", "Pendiente")</f>
        <v>Resuelto</v>
      </c>
      <c r="AC349" s="3" t="s">
        <v>212</v>
      </c>
      <c r="AD349" s="3"/>
    </row>
    <row r="350" spans="1:30" x14ac:dyDescent="0.25">
      <c r="A350">
        <v>81</v>
      </c>
      <c r="B350" s="1">
        <v>43424</v>
      </c>
      <c r="C350" s="33">
        <f t="shared" si="10"/>
        <v>43424</v>
      </c>
      <c r="D350" s="34">
        <f t="shared" si="11"/>
        <v>43424</v>
      </c>
      <c r="E350" s="35" t="s">
        <v>1453</v>
      </c>
      <c r="F350" s="2">
        <v>2.5694444444444443E-2</v>
      </c>
      <c r="G350" s="3" t="s">
        <v>54</v>
      </c>
      <c r="H350" s="3" t="s">
        <v>58</v>
      </c>
      <c r="I350" s="25" t="str">
        <f>VLOOKUP(H350,Tabla5[#All],4,FALSE)</f>
        <v>-31,423018915313, -64,1493562190664</v>
      </c>
      <c r="J350" s="1">
        <v>35219</v>
      </c>
      <c r="K350" s="7">
        <f>INT((crimenes_cordoba_ampliado[[#This Row],[Fecha]]-crimenes_cordoba_ampliado[[#This Row],[Fecha Nac. Delincuente]])/365)</f>
        <v>22</v>
      </c>
      <c r="L350" s="7" t="str">
        <f>_xlfn.XLOOKUP(crimenes_cordoba_ampliado[[#This Row],[EDAD DELINCUENTE]],'Rango etareo'!$A$10:$A$25,'Rango etareo'!$B$10:$B$25,,-1)</f>
        <v>18 - 25</v>
      </c>
      <c r="M350" s="3" t="s">
        <v>21</v>
      </c>
      <c r="N350" s="3" t="str">
        <f>IF(crimenes_cordoba_ampliado[[#This Row],[Género Delincuente]]="Femenino","🚺","🚹")</f>
        <v>🚺</v>
      </c>
      <c r="O350">
        <v>5</v>
      </c>
      <c r="P350" s="1">
        <v>17494</v>
      </c>
      <c r="Q350" s="7">
        <f>INT((crimenes_cordoba_ampliado[[#This Row],[Fecha]]-crimenes_cordoba_ampliado[[#This Row],[Fecha Nac. Víctima]])/365)</f>
        <v>71</v>
      </c>
      <c r="R350" s="7" t="str">
        <f>_xlfn.XLOOKUP(crimenes_cordoba_ampliado[[#This Row],[EDAD VICTIMA]],'Rango etareo'!$A$2:$A$25,'Rango etareo'!$B$2:$B$25,,-1)</f>
        <v>&gt;65</v>
      </c>
      <c r="S350" s="3" t="s">
        <v>22</v>
      </c>
      <c r="T350" s="3" t="str">
        <f>IF(crimenes_cordoba_ampliado[[#This Row],[Género Víctima]]="Masculino","🚹","🚺")</f>
        <v>🚹</v>
      </c>
      <c r="U350">
        <v>3</v>
      </c>
      <c r="V350" s="3" t="s">
        <v>25</v>
      </c>
      <c r="W350" s="3" t="s">
        <v>24</v>
      </c>
      <c r="X350" s="3" t="s">
        <v>24</v>
      </c>
      <c r="Y350" s="3" t="s">
        <v>24</v>
      </c>
      <c r="Z350" s="3" t="s">
        <v>23</v>
      </c>
      <c r="AA350" s="3" t="s">
        <v>23</v>
      </c>
      <c r="AB350" s="3" t="str">
        <f>IF(crimenes_cordoba_ampliado[[#This Row],[Hubo Arresto]]="Sí", "Resuelto", "Pendiente")</f>
        <v>Pendiente</v>
      </c>
      <c r="AC350" s="3" t="s">
        <v>24</v>
      </c>
      <c r="AD350" s="3"/>
    </row>
    <row r="351" spans="1:30" x14ac:dyDescent="0.25">
      <c r="A351">
        <v>352</v>
      </c>
      <c r="B351" s="1">
        <v>43427</v>
      </c>
      <c r="C351" s="33">
        <f t="shared" si="10"/>
        <v>43427</v>
      </c>
      <c r="D351" s="34">
        <f t="shared" si="11"/>
        <v>43427</v>
      </c>
      <c r="E351" s="35" t="s">
        <v>1455</v>
      </c>
      <c r="F351" s="2">
        <v>0.56388888888888888</v>
      </c>
      <c r="G351" s="3" t="s">
        <v>51</v>
      </c>
      <c r="H351" s="3" t="s">
        <v>60</v>
      </c>
      <c r="I351" s="25" t="str">
        <f>VLOOKUP(H351,Tabla5[#All],4,FALSE)</f>
        <v>-31,4076397196409, -64,2020170430678</v>
      </c>
      <c r="J351" s="1">
        <v>33892</v>
      </c>
      <c r="K351" s="7">
        <f>INT((crimenes_cordoba_ampliado[[#This Row],[Fecha]]-crimenes_cordoba_ampliado[[#This Row],[Fecha Nac. Delincuente]])/365)</f>
        <v>26</v>
      </c>
      <c r="L351" s="7" t="str">
        <f>_xlfn.XLOOKUP(crimenes_cordoba_ampliado[[#This Row],[EDAD DELINCUENTE]],'Rango etareo'!$A$10:$A$25,'Rango etareo'!$B$10:$B$25,,-1)</f>
        <v>26 - 35</v>
      </c>
      <c r="M351" s="3" t="s">
        <v>21</v>
      </c>
      <c r="N351" s="3" t="str">
        <f>IF(crimenes_cordoba_ampliado[[#This Row],[Género Delincuente]]="Femenino","🚺","🚹")</f>
        <v>🚺</v>
      </c>
      <c r="O351">
        <v>1</v>
      </c>
      <c r="P351" s="1">
        <v>19362</v>
      </c>
      <c r="Q351" s="7">
        <f>INT((crimenes_cordoba_ampliado[[#This Row],[Fecha]]-crimenes_cordoba_ampliado[[#This Row],[Fecha Nac. Víctima]])/365)</f>
        <v>65</v>
      </c>
      <c r="R351" s="7" t="str">
        <f>_xlfn.XLOOKUP(crimenes_cordoba_ampliado[[#This Row],[EDAD VICTIMA]],'Rango etareo'!$A$2:$A$25,'Rango etareo'!$B$2:$B$25,,-1)</f>
        <v>&gt;65</v>
      </c>
      <c r="S351" s="3" t="s">
        <v>22</v>
      </c>
      <c r="T351" s="3" t="str">
        <f>IF(crimenes_cordoba_ampliado[[#This Row],[Género Víctima]]="Masculino","🚹","🚺")</f>
        <v>🚹</v>
      </c>
      <c r="U351">
        <v>2</v>
      </c>
      <c r="V351" s="3" t="s">
        <v>25</v>
      </c>
      <c r="W351" s="3" t="s">
        <v>24</v>
      </c>
      <c r="X351" s="3" t="s">
        <v>24</v>
      </c>
      <c r="Y351" s="3" t="s">
        <v>46</v>
      </c>
      <c r="Z351" s="3" t="s">
        <v>23</v>
      </c>
      <c r="AA351" s="3" t="s">
        <v>25</v>
      </c>
      <c r="AB351" s="3" t="str">
        <f>IF(crimenes_cordoba_ampliado[[#This Row],[Hubo Arresto]]="Sí", "Resuelto", "Pendiente")</f>
        <v>Pendiente</v>
      </c>
      <c r="AC351" s="3" t="s">
        <v>24</v>
      </c>
      <c r="AD351" s="3"/>
    </row>
    <row r="352" spans="1:30" x14ac:dyDescent="0.25">
      <c r="A352">
        <v>328</v>
      </c>
      <c r="B352" s="1">
        <v>45617</v>
      </c>
      <c r="C352" s="33">
        <f t="shared" si="10"/>
        <v>45617</v>
      </c>
      <c r="D352" s="34">
        <f t="shared" si="11"/>
        <v>45617</v>
      </c>
      <c r="E352" s="35" t="s">
        <v>1454</v>
      </c>
      <c r="F352" s="2">
        <v>0.18402777777777779</v>
      </c>
      <c r="G352" s="3" t="s">
        <v>19</v>
      </c>
      <c r="H352" s="3" t="s">
        <v>40</v>
      </c>
      <c r="I352" s="25" t="str">
        <f>VLOOKUP(H352,Tabla5[#All],4,FALSE)</f>
        <v>-31,334500143441, -64,2460773260564</v>
      </c>
      <c r="J352" s="1">
        <v>26524</v>
      </c>
      <c r="K352" s="7">
        <f>INT((crimenes_cordoba_ampliado[[#This Row],[Fecha]]-crimenes_cordoba_ampliado[[#This Row],[Fecha Nac. Delincuente]])/365)</f>
        <v>52</v>
      </c>
      <c r="L352" s="7" t="str">
        <f>_xlfn.XLOOKUP(crimenes_cordoba_ampliado[[#This Row],[EDAD DELINCUENTE]],'Rango etareo'!$A$10:$A$25,'Rango etareo'!$B$10:$B$25,,-1)</f>
        <v>46 - 55</v>
      </c>
      <c r="M352" s="3" t="s">
        <v>21</v>
      </c>
      <c r="N352" s="3" t="str">
        <f>IF(crimenes_cordoba_ampliado[[#This Row],[Género Delincuente]]="Femenino","🚺","🚹")</f>
        <v>🚺</v>
      </c>
      <c r="O352">
        <v>4</v>
      </c>
      <c r="P352" s="1">
        <v>30209</v>
      </c>
      <c r="Q352" s="7">
        <f>INT((crimenes_cordoba_ampliado[[#This Row],[Fecha]]-crimenes_cordoba_ampliado[[#This Row],[Fecha Nac. Víctima]])/365)</f>
        <v>42</v>
      </c>
      <c r="R352" s="7" t="str">
        <f>_xlfn.XLOOKUP(crimenes_cordoba_ampliado[[#This Row],[EDAD VICTIMA]],'Rango etareo'!$A$2:$A$25,'Rango etareo'!$B$2:$B$25,,-1)</f>
        <v>36 - 45</v>
      </c>
      <c r="S352" s="3" t="s">
        <v>21</v>
      </c>
      <c r="T352" s="3" t="str">
        <f>IF(crimenes_cordoba_ampliado[[#This Row],[Género Víctima]]="Masculino","🚹","🚺")</f>
        <v>🚺</v>
      </c>
      <c r="U352">
        <v>3</v>
      </c>
      <c r="V352" s="3" t="s">
        <v>23</v>
      </c>
      <c r="W352" s="3" t="s">
        <v>24</v>
      </c>
      <c r="X352" s="3" t="s">
        <v>24</v>
      </c>
      <c r="Y352" s="3" t="s">
        <v>86</v>
      </c>
      <c r="Z352" s="3" t="s">
        <v>23</v>
      </c>
      <c r="AA352" s="3" t="s">
        <v>23</v>
      </c>
      <c r="AB352" s="3" t="str">
        <f>IF(crimenes_cordoba_ampliado[[#This Row],[Hubo Arresto]]="Sí", "Resuelto", "Pendiente")</f>
        <v>Resuelto</v>
      </c>
      <c r="AC352" s="3" t="s">
        <v>213</v>
      </c>
      <c r="AD352" s="3"/>
    </row>
    <row r="353" spans="1:30" x14ac:dyDescent="0.25">
      <c r="A353">
        <v>587</v>
      </c>
      <c r="B353" s="1">
        <v>43435</v>
      </c>
      <c r="C353" s="33">
        <f t="shared" si="10"/>
        <v>43435</v>
      </c>
      <c r="D353" s="34">
        <f t="shared" si="11"/>
        <v>43435</v>
      </c>
      <c r="E353" s="35" t="s">
        <v>1451</v>
      </c>
      <c r="F353" s="2">
        <v>0.84097222222222223</v>
      </c>
      <c r="G353" s="3" t="s">
        <v>38</v>
      </c>
      <c r="H353" s="3" t="s">
        <v>55</v>
      </c>
      <c r="I353" s="25" t="str">
        <f>VLOOKUP(H353,Tabla5[#All],4,FALSE)</f>
        <v>-31,4015892433235, -64,160442876477</v>
      </c>
      <c r="J353" s="1">
        <v>30635</v>
      </c>
      <c r="K353" s="7">
        <f>INT((crimenes_cordoba_ampliado[[#This Row],[Fecha]]-crimenes_cordoba_ampliado[[#This Row],[Fecha Nac. Delincuente]])/365)</f>
        <v>35</v>
      </c>
      <c r="L353" s="7" t="str">
        <f>_xlfn.XLOOKUP(crimenes_cordoba_ampliado[[#This Row],[EDAD DELINCUENTE]],'Rango etareo'!$A$10:$A$25,'Rango etareo'!$B$10:$B$25,,-1)</f>
        <v>26 - 35</v>
      </c>
      <c r="M353" s="3" t="s">
        <v>21</v>
      </c>
      <c r="N353" s="3" t="str">
        <f>IF(crimenes_cordoba_ampliado[[#This Row],[Género Delincuente]]="Femenino","🚺","🚹")</f>
        <v>🚺</v>
      </c>
      <c r="O353">
        <v>2</v>
      </c>
      <c r="P353" s="1">
        <v>35009</v>
      </c>
      <c r="Q353" s="7">
        <f>INT((crimenes_cordoba_ampliado[[#This Row],[Fecha]]-crimenes_cordoba_ampliado[[#This Row],[Fecha Nac. Víctima]])/365)</f>
        <v>23</v>
      </c>
      <c r="R353" s="7" t="str">
        <f>_xlfn.XLOOKUP(crimenes_cordoba_ampliado[[#This Row],[EDAD VICTIMA]],'Rango etareo'!$A$2:$A$25,'Rango etareo'!$B$2:$B$25,,-1)</f>
        <v>18 - 25</v>
      </c>
      <c r="S353" s="3" t="s">
        <v>21</v>
      </c>
      <c r="T353" s="3" t="str">
        <f>IF(crimenes_cordoba_ampliado[[#This Row],[Género Víctima]]="Masculino","🚹","🚺")</f>
        <v>🚺</v>
      </c>
      <c r="U353">
        <v>2</v>
      </c>
      <c r="V353" s="3" t="s">
        <v>25</v>
      </c>
      <c r="W353" s="3" t="s">
        <v>63</v>
      </c>
      <c r="X353" s="3" t="s">
        <v>41</v>
      </c>
      <c r="Y353" s="3" t="s">
        <v>24</v>
      </c>
      <c r="Z353" s="3" t="s">
        <v>25</v>
      </c>
      <c r="AA353" s="3" t="s">
        <v>25</v>
      </c>
      <c r="AB353" s="3" t="str">
        <f>IF(crimenes_cordoba_ampliado[[#This Row],[Hubo Arresto]]="Sí", "Resuelto", "Pendiente")</f>
        <v>Pendiente</v>
      </c>
      <c r="AC353" s="3" t="s">
        <v>24</v>
      </c>
      <c r="AD353" s="3"/>
    </row>
    <row r="354" spans="1:30" x14ac:dyDescent="0.25">
      <c r="A354">
        <v>330</v>
      </c>
      <c r="B354" s="1">
        <v>43784</v>
      </c>
      <c r="C354" s="33">
        <f t="shared" si="10"/>
        <v>43784</v>
      </c>
      <c r="D354" s="34">
        <f t="shared" si="11"/>
        <v>43784</v>
      </c>
      <c r="E354" s="35" t="s">
        <v>1455</v>
      </c>
      <c r="F354" s="2">
        <v>0.61736111111111114</v>
      </c>
      <c r="G354" s="3" t="s">
        <v>54</v>
      </c>
      <c r="H354" s="3" t="s">
        <v>28</v>
      </c>
      <c r="I354" s="25" t="str">
        <f>VLOOKUP(H354,Tabla5[#All],4,FALSE)</f>
        <v>-31,4129883640337, -64,1681120522587</v>
      </c>
      <c r="J354" s="1">
        <v>25493</v>
      </c>
      <c r="K354" s="7">
        <f>INT((crimenes_cordoba_ampliado[[#This Row],[Fecha]]-crimenes_cordoba_ampliado[[#This Row],[Fecha Nac. Delincuente]])/365)</f>
        <v>50</v>
      </c>
      <c r="L354" s="7" t="str">
        <f>_xlfn.XLOOKUP(crimenes_cordoba_ampliado[[#This Row],[EDAD DELINCUENTE]],'Rango etareo'!$A$10:$A$25,'Rango etareo'!$B$10:$B$25,,-1)</f>
        <v>46 - 55</v>
      </c>
      <c r="M354" s="3" t="s">
        <v>21</v>
      </c>
      <c r="N354" s="3" t="str">
        <f>IF(crimenes_cordoba_ampliado[[#This Row],[Género Delincuente]]="Femenino","🚺","🚹")</f>
        <v>🚺</v>
      </c>
      <c r="O354">
        <v>5</v>
      </c>
      <c r="P354" s="1">
        <v>26781</v>
      </c>
      <c r="Q354" s="7">
        <f>INT((crimenes_cordoba_ampliado[[#This Row],[Fecha]]-crimenes_cordoba_ampliado[[#This Row],[Fecha Nac. Víctima]])/365)</f>
        <v>46</v>
      </c>
      <c r="R354" s="7" t="str">
        <f>_xlfn.XLOOKUP(crimenes_cordoba_ampliado[[#This Row],[EDAD VICTIMA]],'Rango etareo'!$A$2:$A$25,'Rango etareo'!$B$2:$B$25,,-1)</f>
        <v>46 - 55</v>
      </c>
      <c r="S354" s="3" t="s">
        <v>22</v>
      </c>
      <c r="T354" s="3" t="str">
        <f>IF(crimenes_cordoba_ampliado[[#This Row],[Género Víctima]]="Masculino","🚹","🚺")</f>
        <v>🚹</v>
      </c>
      <c r="U354">
        <v>2</v>
      </c>
      <c r="V354" s="3" t="s">
        <v>23</v>
      </c>
      <c r="W354" s="3" t="s">
        <v>24</v>
      </c>
      <c r="X354" s="3" t="s">
        <v>24</v>
      </c>
      <c r="Y354" s="3" t="s">
        <v>106</v>
      </c>
      <c r="Z354" s="3" t="s">
        <v>23</v>
      </c>
      <c r="AA354" s="3" t="s">
        <v>25</v>
      </c>
      <c r="AB354" s="3" t="str">
        <f>IF(crimenes_cordoba_ampliado[[#This Row],[Hubo Arresto]]="Sí", "Resuelto", "Pendiente")</f>
        <v>Resuelto</v>
      </c>
      <c r="AC354" s="3" t="s">
        <v>117</v>
      </c>
      <c r="AD354" s="3"/>
    </row>
    <row r="355" spans="1:30" x14ac:dyDescent="0.25">
      <c r="A355">
        <v>332</v>
      </c>
      <c r="B355" s="1">
        <v>42141</v>
      </c>
      <c r="C355" s="33">
        <f t="shared" si="10"/>
        <v>42141</v>
      </c>
      <c r="D355" s="34">
        <f t="shared" si="11"/>
        <v>42141</v>
      </c>
      <c r="E355" s="35" t="s">
        <v>1449</v>
      </c>
      <c r="F355" s="2">
        <v>0.36319444444444443</v>
      </c>
      <c r="G355" s="3" t="s">
        <v>51</v>
      </c>
      <c r="H355" s="3" t="s">
        <v>58</v>
      </c>
      <c r="I355" s="25" t="str">
        <f>VLOOKUP(H355,Tabla5[#All],4,FALSE)</f>
        <v>-31,423018915313, -64,1493562190664</v>
      </c>
      <c r="J355" s="1">
        <v>21821</v>
      </c>
      <c r="K355" s="7">
        <f>INT((crimenes_cordoba_ampliado[[#This Row],[Fecha]]-crimenes_cordoba_ampliado[[#This Row],[Fecha Nac. Delincuente]])/365)</f>
        <v>55</v>
      </c>
      <c r="L355" s="7" t="str">
        <f>_xlfn.XLOOKUP(crimenes_cordoba_ampliado[[#This Row],[EDAD DELINCUENTE]],'Rango etareo'!$A$10:$A$25,'Rango etareo'!$B$10:$B$25,,-1)</f>
        <v>46 - 55</v>
      </c>
      <c r="M355" s="3" t="s">
        <v>21</v>
      </c>
      <c r="N355" s="3" t="str">
        <f>IF(crimenes_cordoba_ampliado[[#This Row],[Género Delincuente]]="Femenino","🚺","🚹")</f>
        <v>🚺</v>
      </c>
      <c r="O355">
        <v>4</v>
      </c>
      <c r="P355" s="1">
        <v>17894</v>
      </c>
      <c r="Q355" s="7">
        <f>INT((crimenes_cordoba_ampliado[[#This Row],[Fecha]]-crimenes_cordoba_ampliado[[#This Row],[Fecha Nac. Víctima]])/365)</f>
        <v>66</v>
      </c>
      <c r="R355" s="7" t="str">
        <f>_xlfn.XLOOKUP(crimenes_cordoba_ampliado[[#This Row],[EDAD VICTIMA]],'Rango etareo'!$A$2:$A$25,'Rango etareo'!$B$2:$B$25,,-1)</f>
        <v>&gt;65</v>
      </c>
      <c r="S355" s="3" t="s">
        <v>22</v>
      </c>
      <c r="T355" s="3" t="str">
        <f>IF(crimenes_cordoba_ampliado[[#This Row],[Género Víctima]]="Masculino","🚹","🚺")</f>
        <v>🚹</v>
      </c>
      <c r="U355">
        <v>3</v>
      </c>
      <c r="V355" s="3" t="s">
        <v>23</v>
      </c>
      <c r="W355" s="3" t="s">
        <v>24</v>
      </c>
      <c r="X355" s="3" t="s">
        <v>24</v>
      </c>
      <c r="Y355" s="3" t="s">
        <v>106</v>
      </c>
      <c r="Z355" s="3" t="s">
        <v>25</v>
      </c>
      <c r="AA355" s="3" t="s">
        <v>23</v>
      </c>
      <c r="AB355" s="3" t="str">
        <f>IF(crimenes_cordoba_ampliado[[#This Row],[Hubo Arresto]]="Sí", "Resuelto", "Pendiente")</f>
        <v>Resuelto</v>
      </c>
      <c r="AC355" s="3" t="s">
        <v>214</v>
      </c>
      <c r="AD355" s="3"/>
    </row>
    <row r="356" spans="1:30" x14ac:dyDescent="0.25">
      <c r="A356">
        <v>334</v>
      </c>
      <c r="B356" s="1">
        <v>43659</v>
      </c>
      <c r="C356" s="33">
        <f t="shared" si="10"/>
        <v>43659</v>
      </c>
      <c r="D356" s="34">
        <f t="shared" si="11"/>
        <v>43659</v>
      </c>
      <c r="E356" s="35" t="s">
        <v>1451</v>
      </c>
      <c r="F356" s="2">
        <v>0.81805555555555554</v>
      </c>
      <c r="G356" s="3" t="s">
        <v>27</v>
      </c>
      <c r="H356" s="3" t="s">
        <v>52</v>
      </c>
      <c r="I356" s="25" t="str">
        <f>VLOOKUP(H356,Tabla5[#All],4,FALSE)</f>
        <v>-31,3477902896523, -64,2644406169297</v>
      </c>
      <c r="J356" s="1">
        <v>31473</v>
      </c>
      <c r="K356" s="7">
        <f>INT((crimenes_cordoba_ampliado[[#This Row],[Fecha]]-crimenes_cordoba_ampliado[[#This Row],[Fecha Nac. Delincuente]])/365)</f>
        <v>33</v>
      </c>
      <c r="L356" s="7" t="str">
        <f>_xlfn.XLOOKUP(crimenes_cordoba_ampliado[[#This Row],[EDAD DELINCUENTE]],'Rango etareo'!$A$10:$A$25,'Rango etareo'!$B$10:$B$25,,-1)</f>
        <v>26 - 35</v>
      </c>
      <c r="M356" s="3" t="s">
        <v>21</v>
      </c>
      <c r="N356" s="3" t="str">
        <f>IF(crimenes_cordoba_ampliado[[#This Row],[Género Delincuente]]="Femenino","🚺","🚹")</f>
        <v>🚺</v>
      </c>
      <c r="O356">
        <v>5</v>
      </c>
      <c r="P356" s="1">
        <v>21363</v>
      </c>
      <c r="Q356" s="7">
        <f>INT((crimenes_cordoba_ampliado[[#This Row],[Fecha]]-crimenes_cordoba_ampliado[[#This Row],[Fecha Nac. Víctima]])/365)</f>
        <v>61</v>
      </c>
      <c r="R356" s="7" t="str">
        <f>_xlfn.XLOOKUP(crimenes_cordoba_ampliado[[#This Row],[EDAD VICTIMA]],'Rango etareo'!$A$2:$A$25,'Rango etareo'!$B$2:$B$25,,-1)</f>
        <v>56 - 65</v>
      </c>
      <c r="S356" s="3" t="s">
        <v>21</v>
      </c>
      <c r="T356" s="3" t="str">
        <f>IF(crimenes_cordoba_ampliado[[#This Row],[Género Víctima]]="Masculino","🚹","🚺")</f>
        <v>🚺</v>
      </c>
      <c r="U356">
        <v>2</v>
      </c>
      <c r="V356" s="3" t="s">
        <v>23</v>
      </c>
      <c r="W356" s="3" t="s">
        <v>24</v>
      </c>
      <c r="X356" s="3" t="s">
        <v>24</v>
      </c>
      <c r="Y356" s="3" t="s">
        <v>106</v>
      </c>
      <c r="Z356" s="3" t="s">
        <v>25</v>
      </c>
      <c r="AA356" s="3" t="s">
        <v>23</v>
      </c>
      <c r="AB356" s="3" t="str">
        <f>IF(crimenes_cordoba_ampliado[[#This Row],[Hubo Arresto]]="Sí", "Resuelto", "Pendiente")</f>
        <v>Resuelto</v>
      </c>
      <c r="AC356" s="3" t="s">
        <v>215</v>
      </c>
      <c r="AD356" s="3"/>
    </row>
    <row r="357" spans="1:30" x14ac:dyDescent="0.25">
      <c r="A357">
        <v>605</v>
      </c>
      <c r="B357" s="1">
        <v>43446</v>
      </c>
      <c r="C357" s="33">
        <f t="shared" si="10"/>
        <v>43446</v>
      </c>
      <c r="D357" s="34">
        <f t="shared" si="11"/>
        <v>43446</v>
      </c>
      <c r="E357" s="35" t="s">
        <v>1450</v>
      </c>
      <c r="F357" s="2">
        <v>0.25069444444444444</v>
      </c>
      <c r="G357" s="3" t="s">
        <v>51</v>
      </c>
      <c r="H357" s="3" t="s">
        <v>70</v>
      </c>
      <c r="I357" s="25" t="str">
        <f>VLOOKUP(H357,Tabla5[#All],4,FALSE)</f>
        <v>-31,3759272890294, -64,2284587792478</v>
      </c>
      <c r="J357" s="1">
        <v>21665</v>
      </c>
      <c r="K357" s="7">
        <f>INT((crimenes_cordoba_ampliado[[#This Row],[Fecha]]-crimenes_cordoba_ampliado[[#This Row],[Fecha Nac. Delincuente]])/365)</f>
        <v>59</v>
      </c>
      <c r="L357" s="7" t="str">
        <f>_xlfn.XLOOKUP(crimenes_cordoba_ampliado[[#This Row],[EDAD DELINCUENTE]],'Rango etareo'!$A$10:$A$25,'Rango etareo'!$B$10:$B$25,,-1)</f>
        <v>56 - 65</v>
      </c>
      <c r="M357" s="3" t="s">
        <v>21</v>
      </c>
      <c r="N357" s="3" t="str">
        <f>IF(crimenes_cordoba_ampliado[[#This Row],[Género Delincuente]]="Femenino","🚺","🚹")</f>
        <v>🚺</v>
      </c>
      <c r="O357">
        <v>5</v>
      </c>
      <c r="P357" s="1">
        <v>32131</v>
      </c>
      <c r="Q357" s="7">
        <f>INT((crimenes_cordoba_ampliado[[#This Row],[Fecha]]-crimenes_cordoba_ampliado[[#This Row],[Fecha Nac. Víctima]])/365)</f>
        <v>31</v>
      </c>
      <c r="R357" s="7" t="str">
        <f>_xlfn.XLOOKUP(crimenes_cordoba_ampliado[[#This Row],[EDAD VICTIMA]],'Rango etareo'!$A$2:$A$25,'Rango etareo'!$B$2:$B$25,,-1)</f>
        <v>26 - 35</v>
      </c>
      <c r="S357" s="3" t="s">
        <v>22</v>
      </c>
      <c r="T357" s="3" t="str">
        <f>IF(crimenes_cordoba_ampliado[[#This Row],[Género Víctima]]="Masculino","🚹","🚺")</f>
        <v>🚹</v>
      </c>
      <c r="U357">
        <v>2</v>
      </c>
      <c r="V357" s="3" t="s">
        <v>25</v>
      </c>
      <c r="W357" s="3" t="s">
        <v>24</v>
      </c>
      <c r="X357" s="3" t="s">
        <v>24</v>
      </c>
      <c r="Y357" s="3" t="s">
        <v>86</v>
      </c>
      <c r="Z357" s="3" t="s">
        <v>25</v>
      </c>
      <c r="AA357" s="3" t="s">
        <v>23</v>
      </c>
      <c r="AB357" s="3" t="str">
        <f>IF(crimenes_cordoba_ampliado[[#This Row],[Hubo Arresto]]="Sí", "Resuelto", "Pendiente")</f>
        <v>Pendiente</v>
      </c>
      <c r="AC357" s="3" t="s">
        <v>24</v>
      </c>
      <c r="AD357" s="3"/>
    </row>
    <row r="358" spans="1:30" x14ac:dyDescent="0.25">
      <c r="A358">
        <v>549</v>
      </c>
      <c r="B358" s="1">
        <v>43456</v>
      </c>
      <c r="C358" s="33">
        <f t="shared" si="10"/>
        <v>43456</v>
      </c>
      <c r="D358" s="34">
        <f t="shared" si="11"/>
        <v>43456</v>
      </c>
      <c r="E358" s="35" t="s">
        <v>1451</v>
      </c>
      <c r="F358" s="2">
        <v>0.89097222222222228</v>
      </c>
      <c r="G358" s="3" t="s">
        <v>81</v>
      </c>
      <c r="H358" s="3" t="s">
        <v>70</v>
      </c>
      <c r="I358" s="25" t="str">
        <f>VLOOKUP(H358,Tabla5[#All],4,FALSE)</f>
        <v>-31,3759272890294, -64,2284587792478</v>
      </c>
      <c r="J358" s="1">
        <v>20421</v>
      </c>
      <c r="K358" s="7">
        <f>INT((crimenes_cordoba_ampliado[[#This Row],[Fecha]]-crimenes_cordoba_ampliado[[#This Row],[Fecha Nac. Delincuente]])/365)</f>
        <v>63</v>
      </c>
      <c r="L358" s="7" t="str">
        <f>_xlfn.XLOOKUP(crimenes_cordoba_ampliado[[#This Row],[EDAD DELINCUENTE]],'Rango etareo'!$A$10:$A$25,'Rango etareo'!$B$10:$B$25,,-1)</f>
        <v>56 - 65</v>
      </c>
      <c r="M358" s="3" t="s">
        <v>22</v>
      </c>
      <c r="N358" s="3" t="str">
        <f>IF(crimenes_cordoba_ampliado[[#This Row],[Género Delincuente]]="Femenino","🚺","🚹")</f>
        <v>🚹</v>
      </c>
      <c r="O358">
        <v>5</v>
      </c>
      <c r="P358" s="1">
        <v>41435</v>
      </c>
      <c r="Q358" s="7">
        <f>INT((crimenes_cordoba_ampliado[[#This Row],[Fecha]]-crimenes_cordoba_ampliado[[#This Row],[Fecha Nac. Víctima]])/365)</f>
        <v>5</v>
      </c>
      <c r="R358" s="7" t="str">
        <f>_xlfn.XLOOKUP(crimenes_cordoba_ampliado[[#This Row],[EDAD VICTIMA]],'Rango etareo'!$A$2:$A$25,'Rango etareo'!$B$2:$B$25,,-1)</f>
        <v>&lt;=17</v>
      </c>
      <c r="S358" s="3" t="s">
        <v>21</v>
      </c>
      <c r="T358" s="3" t="str">
        <f>IF(crimenes_cordoba_ampliado[[#This Row],[Género Víctima]]="Masculino","🚹","🚺")</f>
        <v>🚺</v>
      </c>
      <c r="U358">
        <v>2</v>
      </c>
      <c r="V358" s="3" t="s">
        <v>25</v>
      </c>
      <c r="W358" s="3" t="s">
        <v>24</v>
      </c>
      <c r="X358" s="3" t="s">
        <v>24</v>
      </c>
      <c r="Y358" s="3" t="s">
        <v>98</v>
      </c>
      <c r="Z358" s="3" t="s">
        <v>23</v>
      </c>
      <c r="AA358" s="3" t="s">
        <v>23</v>
      </c>
      <c r="AB358" s="3" t="str">
        <f>IF(crimenes_cordoba_ampliado[[#This Row],[Hubo Arresto]]="Sí", "Resuelto", "Pendiente")</f>
        <v>Pendiente</v>
      </c>
      <c r="AC358" s="3" t="s">
        <v>24</v>
      </c>
      <c r="AD358" s="3"/>
    </row>
    <row r="359" spans="1:30" x14ac:dyDescent="0.25">
      <c r="A359">
        <v>336</v>
      </c>
      <c r="B359" s="1">
        <v>44961</v>
      </c>
      <c r="C359" s="33">
        <f t="shared" si="10"/>
        <v>44961</v>
      </c>
      <c r="D359" s="34">
        <f t="shared" si="11"/>
        <v>44961</v>
      </c>
      <c r="E359" s="35" t="s">
        <v>1451</v>
      </c>
      <c r="F359" s="2">
        <v>0.49444444444444446</v>
      </c>
      <c r="G359" s="3" t="s">
        <v>51</v>
      </c>
      <c r="H359" s="3" t="s">
        <v>32</v>
      </c>
      <c r="I359" s="25" t="str">
        <f>VLOOKUP(H359,Tabla5[#All],4,FALSE)</f>
        <v>-31,4148488101991, -64,1793406489438</v>
      </c>
      <c r="J359" s="1">
        <v>35929</v>
      </c>
      <c r="K359" s="7">
        <f>INT((crimenes_cordoba_ampliado[[#This Row],[Fecha]]-crimenes_cordoba_ampliado[[#This Row],[Fecha Nac. Delincuente]])/365)</f>
        <v>24</v>
      </c>
      <c r="L359" s="7" t="str">
        <f>_xlfn.XLOOKUP(crimenes_cordoba_ampliado[[#This Row],[EDAD DELINCUENTE]],'Rango etareo'!$A$10:$A$25,'Rango etareo'!$B$10:$B$25,,-1)</f>
        <v>18 - 25</v>
      </c>
      <c r="M359" s="3" t="s">
        <v>22</v>
      </c>
      <c r="N359" s="3" t="str">
        <f>IF(crimenes_cordoba_ampliado[[#This Row],[Género Delincuente]]="Femenino","🚺","🚹")</f>
        <v>🚹</v>
      </c>
      <c r="O359">
        <v>3</v>
      </c>
      <c r="P359" s="1">
        <v>37617</v>
      </c>
      <c r="Q359" s="7">
        <f>INT((crimenes_cordoba_ampliado[[#This Row],[Fecha]]-crimenes_cordoba_ampliado[[#This Row],[Fecha Nac. Víctima]])/365)</f>
        <v>20</v>
      </c>
      <c r="R359" s="7" t="str">
        <f>_xlfn.XLOOKUP(crimenes_cordoba_ampliado[[#This Row],[EDAD VICTIMA]],'Rango etareo'!$A$2:$A$25,'Rango etareo'!$B$2:$B$25,,-1)</f>
        <v>18 - 25</v>
      </c>
      <c r="S359" s="3" t="s">
        <v>21</v>
      </c>
      <c r="T359" s="3" t="str">
        <f>IF(crimenes_cordoba_ampliado[[#This Row],[Género Víctima]]="Masculino","🚹","🚺")</f>
        <v>🚺</v>
      </c>
      <c r="U359">
        <v>1</v>
      </c>
      <c r="V359" s="3" t="s">
        <v>23</v>
      </c>
      <c r="W359" s="3" t="s">
        <v>24</v>
      </c>
      <c r="X359" s="3" t="s">
        <v>24</v>
      </c>
      <c r="Y359" s="3" t="s">
        <v>69</v>
      </c>
      <c r="Z359" s="3" t="s">
        <v>25</v>
      </c>
      <c r="AA359" s="3" t="s">
        <v>23</v>
      </c>
      <c r="AB359" s="3" t="str">
        <f>IF(crimenes_cordoba_ampliado[[#This Row],[Hubo Arresto]]="Sí", "Resuelto", "Pendiente")</f>
        <v>Resuelto</v>
      </c>
      <c r="AC359" s="3" t="s">
        <v>216</v>
      </c>
      <c r="AD359" s="3"/>
    </row>
    <row r="360" spans="1:30" x14ac:dyDescent="0.25">
      <c r="A360">
        <v>337</v>
      </c>
      <c r="B360" s="1">
        <v>45298</v>
      </c>
      <c r="C360" s="33">
        <f t="shared" si="10"/>
        <v>45298</v>
      </c>
      <c r="D360" s="34">
        <f t="shared" si="11"/>
        <v>45298</v>
      </c>
      <c r="E360" s="35" t="s">
        <v>1449</v>
      </c>
      <c r="F360" s="2">
        <v>0.50972222222222219</v>
      </c>
      <c r="G360" s="3" t="s">
        <v>19</v>
      </c>
      <c r="H360" s="3" t="s">
        <v>40</v>
      </c>
      <c r="I360" s="25" t="str">
        <f>VLOOKUP(H360,Tabla5[#All],4,FALSE)</f>
        <v>-31,334500143441, -64,2460773260564</v>
      </c>
      <c r="J360" s="1">
        <v>24563</v>
      </c>
      <c r="K360" s="7">
        <f>INT((crimenes_cordoba_ampliado[[#This Row],[Fecha]]-crimenes_cordoba_ampliado[[#This Row],[Fecha Nac. Delincuente]])/365)</f>
        <v>56</v>
      </c>
      <c r="L360" s="7" t="str">
        <f>_xlfn.XLOOKUP(crimenes_cordoba_ampliado[[#This Row],[EDAD DELINCUENTE]],'Rango etareo'!$A$10:$A$25,'Rango etareo'!$B$10:$B$25,,-1)</f>
        <v>56 - 65</v>
      </c>
      <c r="M360" s="3" t="s">
        <v>21</v>
      </c>
      <c r="N360" s="3" t="str">
        <f>IF(crimenes_cordoba_ampliado[[#This Row],[Género Delincuente]]="Femenino","🚺","🚹")</f>
        <v>🚺</v>
      </c>
      <c r="O360">
        <v>1</v>
      </c>
      <c r="P360" s="1">
        <v>41520</v>
      </c>
      <c r="Q360" s="7">
        <f>INT((crimenes_cordoba_ampliado[[#This Row],[Fecha]]-crimenes_cordoba_ampliado[[#This Row],[Fecha Nac. Víctima]])/365)</f>
        <v>10</v>
      </c>
      <c r="R360" s="7" t="str">
        <f>_xlfn.XLOOKUP(crimenes_cordoba_ampliado[[#This Row],[EDAD VICTIMA]],'Rango etareo'!$A$2:$A$25,'Rango etareo'!$B$2:$B$25,,-1)</f>
        <v>&lt;=17</v>
      </c>
      <c r="S360" s="3" t="s">
        <v>21</v>
      </c>
      <c r="T360" s="3" t="str">
        <f>IF(crimenes_cordoba_ampliado[[#This Row],[Género Víctima]]="Masculino","🚹","🚺")</f>
        <v>🚺</v>
      </c>
      <c r="U360">
        <v>3</v>
      </c>
      <c r="V360" s="3" t="s">
        <v>23</v>
      </c>
      <c r="W360" s="3" t="s">
        <v>24</v>
      </c>
      <c r="X360" s="3" t="s">
        <v>24</v>
      </c>
      <c r="Y360" s="3" t="s">
        <v>56</v>
      </c>
      <c r="Z360" s="3" t="s">
        <v>25</v>
      </c>
      <c r="AA360" s="3" t="s">
        <v>25</v>
      </c>
      <c r="AB360" s="3" t="str">
        <f>IF(crimenes_cordoba_ampliado[[#This Row],[Hubo Arresto]]="Sí", "Resuelto", "Pendiente")</f>
        <v>Resuelto</v>
      </c>
      <c r="AC360" s="3" t="s">
        <v>217</v>
      </c>
      <c r="AD360" s="3"/>
    </row>
    <row r="361" spans="1:30" x14ac:dyDescent="0.25">
      <c r="A361">
        <v>340</v>
      </c>
      <c r="B361" s="1">
        <v>45568</v>
      </c>
      <c r="C361" s="33">
        <f t="shared" si="10"/>
        <v>45568</v>
      </c>
      <c r="D361" s="34">
        <f t="shared" si="11"/>
        <v>45568</v>
      </c>
      <c r="E361" s="35" t="s">
        <v>1454</v>
      </c>
      <c r="F361" s="2">
        <v>0.7104166666666667</v>
      </c>
      <c r="G361" s="3" t="s">
        <v>35</v>
      </c>
      <c r="H361" s="3" t="s">
        <v>65</v>
      </c>
      <c r="I361" s="25" t="str">
        <f>VLOOKUP(H361,Tabla5[#All],4,FALSE)</f>
        <v>-31,4285567311661, -64,1853198281007</v>
      </c>
      <c r="J361" s="1">
        <v>21661</v>
      </c>
      <c r="K361" s="7">
        <f>INT((crimenes_cordoba_ampliado[[#This Row],[Fecha]]-crimenes_cordoba_ampliado[[#This Row],[Fecha Nac. Delincuente]])/365)</f>
        <v>65</v>
      </c>
      <c r="L361" s="7" t="str">
        <f>_xlfn.XLOOKUP(crimenes_cordoba_ampliado[[#This Row],[EDAD DELINCUENTE]],'Rango etareo'!$A$10:$A$25,'Rango etareo'!$B$10:$B$25,,-1)</f>
        <v>&gt;65</v>
      </c>
      <c r="M361" s="3" t="s">
        <v>21</v>
      </c>
      <c r="N361" s="3" t="str">
        <f>IF(crimenes_cordoba_ampliado[[#This Row],[Género Delincuente]]="Femenino","🚺","🚹")</f>
        <v>🚺</v>
      </c>
      <c r="O361">
        <v>3</v>
      </c>
      <c r="P361" s="1">
        <v>30304</v>
      </c>
      <c r="Q361" s="7">
        <f>INT((crimenes_cordoba_ampliado[[#This Row],[Fecha]]-crimenes_cordoba_ampliado[[#This Row],[Fecha Nac. Víctima]])/365)</f>
        <v>41</v>
      </c>
      <c r="R361" s="7" t="str">
        <f>_xlfn.XLOOKUP(crimenes_cordoba_ampliado[[#This Row],[EDAD VICTIMA]],'Rango etareo'!$A$2:$A$25,'Rango etareo'!$B$2:$B$25,,-1)</f>
        <v>36 - 45</v>
      </c>
      <c r="S361" s="3" t="s">
        <v>21</v>
      </c>
      <c r="T361" s="3" t="str">
        <f>IF(crimenes_cordoba_ampliado[[#This Row],[Género Víctima]]="Masculino","🚹","🚺")</f>
        <v>🚺</v>
      </c>
      <c r="U361">
        <v>1</v>
      </c>
      <c r="V361" s="3" t="s">
        <v>23</v>
      </c>
      <c r="W361" s="3" t="s">
        <v>24</v>
      </c>
      <c r="X361" s="3" t="s">
        <v>50</v>
      </c>
      <c r="Y361" s="3" t="s">
        <v>24</v>
      </c>
      <c r="Z361" s="3" t="s">
        <v>25</v>
      </c>
      <c r="AA361" s="3" t="s">
        <v>25</v>
      </c>
      <c r="AB361" s="3" t="str">
        <f>IF(crimenes_cordoba_ampliado[[#This Row],[Hubo Arresto]]="Sí", "Resuelto", "Pendiente")</f>
        <v>Resuelto</v>
      </c>
      <c r="AC361" s="3" t="s">
        <v>218</v>
      </c>
      <c r="AD361" s="3"/>
    </row>
    <row r="362" spans="1:30" x14ac:dyDescent="0.25">
      <c r="A362">
        <v>341</v>
      </c>
      <c r="B362" s="1">
        <v>42524</v>
      </c>
      <c r="C362" s="33">
        <f t="shared" si="10"/>
        <v>42524</v>
      </c>
      <c r="D362" s="34">
        <f t="shared" si="11"/>
        <v>42524</v>
      </c>
      <c r="E362" s="35" t="s">
        <v>1455</v>
      </c>
      <c r="F362" s="2">
        <v>0.15625</v>
      </c>
      <c r="G362" s="3" t="s">
        <v>45</v>
      </c>
      <c r="H362" s="3" t="s">
        <v>62</v>
      </c>
      <c r="I362" s="25" t="str">
        <f>VLOOKUP(H362,Tabla5[#All],4,FALSE)</f>
        <v>-31,3909520937826, -64,1836424491715</v>
      </c>
      <c r="J362" s="1">
        <v>25579</v>
      </c>
      <c r="K362" s="7">
        <f>INT((crimenes_cordoba_ampliado[[#This Row],[Fecha]]-crimenes_cordoba_ampliado[[#This Row],[Fecha Nac. Delincuente]])/365)</f>
        <v>46</v>
      </c>
      <c r="L362" s="7" t="str">
        <f>_xlfn.XLOOKUP(crimenes_cordoba_ampliado[[#This Row],[EDAD DELINCUENTE]],'Rango etareo'!$A$10:$A$25,'Rango etareo'!$B$10:$B$25,,-1)</f>
        <v>46 - 55</v>
      </c>
      <c r="M362" s="3" t="s">
        <v>21</v>
      </c>
      <c r="N362" s="3" t="str">
        <f>IF(crimenes_cordoba_ampliado[[#This Row],[Género Delincuente]]="Femenino","🚺","🚹")</f>
        <v>🚺</v>
      </c>
      <c r="O362">
        <v>2</v>
      </c>
      <c r="P362" s="1">
        <v>30425</v>
      </c>
      <c r="Q362" s="7">
        <f>INT((crimenes_cordoba_ampliado[[#This Row],[Fecha]]-crimenes_cordoba_ampliado[[#This Row],[Fecha Nac. Víctima]])/365)</f>
        <v>33</v>
      </c>
      <c r="R362" s="7" t="str">
        <f>_xlfn.XLOOKUP(crimenes_cordoba_ampliado[[#This Row],[EDAD VICTIMA]],'Rango etareo'!$A$2:$A$25,'Rango etareo'!$B$2:$B$25,,-1)</f>
        <v>26 - 35</v>
      </c>
      <c r="S362" s="3" t="s">
        <v>21</v>
      </c>
      <c r="T362" s="3" t="str">
        <f>IF(crimenes_cordoba_ampliado[[#This Row],[Género Víctima]]="Masculino","🚹","🚺")</f>
        <v>🚺</v>
      </c>
      <c r="U362">
        <v>1</v>
      </c>
      <c r="V362" s="3" t="s">
        <v>23</v>
      </c>
      <c r="W362" s="3" t="s">
        <v>24</v>
      </c>
      <c r="X362" s="3" t="s">
        <v>24</v>
      </c>
      <c r="Y362" s="3" t="s">
        <v>106</v>
      </c>
      <c r="Z362" s="3" t="s">
        <v>25</v>
      </c>
      <c r="AA362" s="3" t="s">
        <v>23</v>
      </c>
      <c r="AB362" s="3" t="str">
        <f>IF(crimenes_cordoba_ampliado[[#This Row],[Hubo Arresto]]="Sí", "Resuelto", "Pendiente")</f>
        <v>Resuelto</v>
      </c>
      <c r="AC362" s="3" t="s">
        <v>219</v>
      </c>
      <c r="AD362" s="3"/>
    </row>
    <row r="363" spans="1:30" x14ac:dyDescent="0.25">
      <c r="A363">
        <v>342</v>
      </c>
      <c r="B363" s="1">
        <v>42979</v>
      </c>
      <c r="C363" s="33">
        <f t="shared" si="10"/>
        <v>42979</v>
      </c>
      <c r="D363" s="34">
        <f t="shared" si="11"/>
        <v>42979</v>
      </c>
      <c r="E363" s="35" t="s">
        <v>1455</v>
      </c>
      <c r="F363" s="2">
        <v>0.24305555555555555</v>
      </c>
      <c r="G363" s="3" t="s">
        <v>54</v>
      </c>
      <c r="H363" s="3" t="s">
        <v>40</v>
      </c>
      <c r="I363" s="25" t="str">
        <f>VLOOKUP(H363,Tabla5[#All],4,FALSE)</f>
        <v>-31,334500143441, -64,2460773260564</v>
      </c>
      <c r="J363" s="1">
        <v>28554</v>
      </c>
      <c r="K363" s="7">
        <f>INT((crimenes_cordoba_ampliado[[#This Row],[Fecha]]-crimenes_cordoba_ampliado[[#This Row],[Fecha Nac. Delincuente]])/365)</f>
        <v>39</v>
      </c>
      <c r="L363" s="7" t="str">
        <f>_xlfn.XLOOKUP(crimenes_cordoba_ampliado[[#This Row],[EDAD DELINCUENTE]],'Rango etareo'!$A$10:$A$25,'Rango etareo'!$B$10:$B$25,,-1)</f>
        <v>36 - 45</v>
      </c>
      <c r="M363" s="3" t="s">
        <v>22</v>
      </c>
      <c r="N363" s="3" t="str">
        <f>IF(crimenes_cordoba_ampliado[[#This Row],[Género Delincuente]]="Femenino","🚺","🚹")</f>
        <v>🚹</v>
      </c>
      <c r="O363">
        <v>4</v>
      </c>
      <c r="P363" s="1">
        <v>36011</v>
      </c>
      <c r="Q363" s="7">
        <f>INT((crimenes_cordoba_ampliado[[#This Row],[Fecha]]-crimenes_cordoba_ampliado[[#This Row],[Fecha Nac. Víctima]])/365)</f>
        <v>19</v>
      </c>
      <c r="R363" s="7" t="str">
        <f>_xlfn.XLOOKUP(crimenes_cordoba_ampliado[[#This Row],[EDAD VICTIMA]],'Rango etareo'!$A$2:$A$25,'Rango etareo'!$B$2:$B$25,,-1)</f>
        <v>18 - 25</v>
      </c>
      <c r="S363" s="3" t="s">
        <v>22</v>
      </c>
      <c r="T363" s="3" t="str">
        <f>IF(crimenes_cordoba_ampliado[[#This Row],[Género Víctima]]="Masculino","🚹","🚺")</f>
        <v>🚹</v>
      </c>
      <c r="U363">
        <v>2</v>
      </c>
      <c r="V363" s="3" t="s">
        <v>23</v>
      </c>
      <c r="W363" s="3" t="s">
        <v>24</v>
      </c>
      <c r="X363" s="3" t="s">
        <v>24</v>
      </c>
      <c r="Y363" s="3" t="s">
        <v>106</v>
      </c>
      <c r="Z363" s="3" t="s">
        <v>25</v>
      </c>
      <c r="AA363" s="3" t="s">
        <v>25</v>
      </c>
      <c r="AB363" s="3" t="str">
        <f>IF(crimenes_cordoba_ampliado[[#This Row],[Hubo Arresto]]="Sí", "Resuelto", "Pendiente")</f>
        <v>Resuelto</v>
      </c>
      <c r="AC363" s="3" t="s">
        <v>130</v>
      </c>
      <c r="AD363" s="3"/>
    </row>
    <row r="364" spans="1:30" x14ac:dyDescent="0.25">
      <c r="A364">
        <v>344</v>
      </c>
      <c r="B364" s="1">
        <v>45120</v>
      </c>
      <c r="C364" s="33">
        <f t="shared" si="10"/>
        <v>45120</v>
      </c>
      <c r="D364" s="34">
        <f t="shared" si="11"/>
        <v>45120</v>
      </c>
      <c r="E364" s="35" t="s">
        <v>1454</v>
      </c>
      <c r="F364" s="2">
        <v>0.74583333333333335</v>
      </c>
      <c r="G364" s="3" t="s">
        <v>51</v>
      </c>
      <c r="H364" s="3" t="s">
        <v>55</v>
      </c>
      <c r="I364" s="25" t="str">
        <f>VLOOKUP(H364,Tabla5[#All],4,FALSE)</f>
        <v>-31,4015892433235, -64,160442876477</v>
      </c>
      <c r="J364" s="1">
        <v>29429</v>
      </c>
      <c r="K364" s="7">
        <f>INT((crimenes_cordoba_ampliado[[#This Row],[Fecha]]-crimenes_cordoba_ampliado[[#This Row],[Fecha Nac. Delincuente]])/365)</f>
        <v>42</v>
      </c>
      <c r="L364" s="7" t="str">
        <f>_xlfn.XLOOKUP(crimenes_cordoba_ampliado[[#This Row],[EDAD DELINCUENTE]],'Rango etareo'!$A$10:$A$25,'Rango etareo'!$B$10:$B$25,,-1)</f>
        <v>36 - 45</v>
      </c>
      <c r="M364" s="3" t="s">
        <v>21</v>
      </c>
      <c r="N364" s="3" t="str">
        <f>IF(crimenes_cordoba_ampliado[[#This Row],[Género Delincuente]]="Femenino","🚺","🚹")</f>
        <v>🚺</v>
      </c>
      <c r="O364">
        <v>1</v>
      </c>
      <c r="P364" s="1">
        <v>36731</v>
      </c>
      <c r="Q364" s="7">
        <f>INT((crimenes_cordoba_ampliado[[#This Row],[Fecha]]-crimenes_cordoba_ampliado[[#This Row],[Fecha Nac. Víctima]])/365)</f>
        <v>22</v>
      </c>
      <c r="R364" s="7" t="str">
        <f>_xlfn.XLOOKUP(crimenes_cordoba_ampliado[[#This Row],[EDAD VICTIMA]],'Rango etareo'!$A$2:$A$25,'Rango etareo'!$B$2:$B$25,,-1)</f>
        <v>18 - 25</v>
      </c>
      <c r="S364" s="3" t="s">
        <v>21</v>
      </c>
      <c r="T364" s="3" t="str">
        <f>IF(crimenes_cordoba_ampliado[[#This Row],[Género Víctima]]="Masculino","🚹","🚺")</f>
        <v>🚺</v>
      </c>
      <c r="U364">
        <v>2</v>
      </c>
      <c r="V364" s="3" t="s">
        <v>23</v>
      </c>
      <c r="W364" s="3" t="s">
        <v>24</v>
      </c>
      <c r="X364" s="3" t="s">
        <v>24</v>
      </c>
      <c r="Y364" s="3" t="s">
        <v>89</v>
      </c>
      <c r="Z364" s="3" t="s">
        <v>25</v>
      </c>
      <c r="AA364" s="3" t="s">
        <v>23</v>
      </c>
      <c r="AB364" s="3" t="str">
        <f>IF(crimenes_cordoba_ampliado[[#This Row],[Hubo Arresto]]="Sí", "Resuelto", "Pendiente")</f>
        <v>Resuelto</v>
      </c>
      <c r="AC364" s="3" t="s">
        <v>220</v>
      </c>
      <c r="AD364" s="3"/>
    </row>
    <row r="365" spans="1:30" x14ac:dyDescent="0.25">
      <c r="A365">
        <v>198</v>
      </c>
      <c r="B365" s="1">
        <v>43489</v>
      </c>
      <c r="C365" s="33">
        <f t="shared" si="10"/>
        <v>43489</v>
      </c>
      <c r="D365" s="34">
        <f t="shared" si="11"/>
        <v>43489</v>
      </c>
      <c r="E365" s="35" t="s">
        <v>1454</v>
      </c>
      <c r="F365" s="2">
        <v>0.66249999999999998</v>
      </c>
      <c r="G365" s="3" t="s">
        <v>79</v>
      </c>
      <c r="H365" s="3" t="s">
        <v>52</v>
      </c>
      <c r="I365" s="25" t="str">
        <f>VLOOKUP(H365,Tabla5[#All],4,FALSE)</f>
        <v>-31,3477902896523, -64,2644406169297</v>
      </c>
      <c r="J365" s="1">
        <v>18886</v>
      </c>
      <c r="K365" s="7">
        <f>INT((crimenes_cordoba_ampliado[[#This Row],[Fecha]]-crimenes_cordoba_ampliado[[#This Row],[Fecha Nac. Delincuente]])/365)</f>
        <v>67</v>
      </c>
      <c r="L365" s="7" t="str">
        <f>_xlfn.XLOOKUP(crimenes_cordoba_ampliado[[#This Row],[EDAD DELINCUENTE]],'Rango etareo'!$A$10:$A$25,'Rango etareo'!$B$10:$B$25,,-1)</f>
        <v>&gt;65</v>
      </c>
      <c r="M365" s="3" t="s">
        <v>21</v>
      </c>
      <c r="N365" s="3" t="str">
        <f>IF(crimenes_cordoba_ampliado[[#This Row],[Género Delincuente]]="Femenino","🚺","🚹")</f>
        <v>🚺</v>
      </c>
      <c r="O365">
        <v>5</v>
      </c>
      <c r="P365" s="1">
        <v>30078</v>
      </c>
      <c r="Q365" s="7">
        <f>INT((crimenes_cordoba_ampliado[[#This Row],[Fecha]]-crimenes_cordoba_ampliado[[#This Row],[Fecha Nac. Víctima]])/365)</f>
        <v>36</v>
      </c>
      <c r="R365" s="7" t="str">
        <f>_xlfn.XLOOKUP(crimenes_cordoba_ampliado[[#This Row],[EDAD VICTIMA]],'Rango etareo'!$A$2:$A$25,'Rango etareo'!$B$2:$B$25,,-1)</f>
        <v>36 - 45</v>
      </c>
      <c r="S365" s="3" t="s">
        <v>22</v>
      </c>
      <c r="T365" s="3" t="str">
        <f>IF(crimenes_cordoba_ampliado[[#This Row],[Género Víctima]]="Masculino","🚹","🚺")</f>
        <v>🚹</v>
      </c>
      <c r="U365">
        <v>2</v>
      </c>
      <c r="V365" s="3" t="s">
        <v>25</v>
      </c>
      <c r="W365" s="3" t="s">
        <v>24</v>
      </c>
      <c r="X365" s="3" t="s">
        <v>24</v>
      </c>
      <c r="Y365" s="3" t="s">
        <v>43</v>
      </c>
      <c r="Z365" s="3" t="s">
        <v>23</v>
      </c>
      <c r="AA365" s="3" t="s">
        <v>25</v>
      </c>
      <c r="AB365" s="3" t="str">
        <f>IF(crimenes_cordoba_ampliado[[#This Row],[Hubo Arresto]]="Sí", "Resuelto", "Pendiente")</f>
        <v>Pendiente</v>
      </c>
      <c r="AC365" s="3" t="s">
        <v>24</v>
      </c>
      <c r="AD365" s="3"/>
    </row>
    <row r="366" spans="1:30" x14ac:dyDescent="0.25">
      <c r="A366">
        <v>443</v>
      </c>
      <c r="B366" s="1">
        <v>43489</v>
      </c>
      <c r="C366" s="33">
        <f t="shared" si="10"/>
        <v>43489</v>
      </c>
      <c r="D366" s="34">
        <f t="shared" si="11"/>
        <v>43489</v>
      </c>
      <c r="E366" s="35" t="s">
        <v>1454</v>
      </c>
      <c r="F366" s="2">
        <v>0.59861111111111109</v>
      </c>
      <c r="G366" s="3" t="s">
        <v>27</v>
      </c>
      <c r="H366" s="3" t="s">
        <v>49</v>
      </c>
      <c r="I366" s="25" t="str">
        <f>VLOOKUP(H366,Tabla5[#All],4,FALSE)</f>
        <v>-31,4506257494184, -64,1733054344705</v>
      </c>
      <c r="J366" s="1">
        <v>34583</v>
      </c>
      <c r="K366" s="7">
        <f>INT((crimenes_cordoba_ampliado[[#This Row],[Fecha]]-crimenes_cordoba_ampliado[[#This Row],[Fecha Nac. Delincuente]])/365)</f>
        <v>24</v>
      </c>
      <c r="L366" s="7" t="str">
        <f>_xlfn.XLOOKUP(crimenes_cordoba_ampliado[[#This Row],[EDAD DELINCUENTE]],'Rango etareo'!$A$10:$A$25,'Rango etareo'!$B$10:$B$25,,-1)</f>
        <v>18 - 25</v>
      </c>
      <c r="M366" s="3" t="s">
        <v>22</v>
      </c>
      <c r="N366" s="3" t="str">
        <f>IF(crimenes_cordoba_ampliado[[#This Row],[Género Delincuente]]="Femenino","🚺","🚹")</f>
        <v>🚹</v>
      </c>
      <c r="O366">
        <v>1</v>
      </c>
      <c r="P366" s="1">
        <v>16135</v>
      </c>
      <c r="Q366" s="7">
        <f>INT((crimenes_cordoba_ampliado[[#This Row],[Fecha]]-crimenes_cordoba_ampliado[[#This Row],[Fecha Nac. Víctima]])/365)</f>
        <v>74</v>
      </c>
      <c r="R366" s="7" t="str">
        <f>_xlfn.XLOOKUP(crimenes_cordoba_ampliado[[#This Row],[EDAD VICTIMA]],'Rango etareo'!$A$2:$A$25,'Rango etareo'!$B$2:$B$25,,-1)</f>
        <v>&gt;65</v>
      </c>
      <c r="S366" s="3" t="s">
        <v>21</v>
      </c>
      <c r="T366" s="3" t="str">
        <f>IF(crimenes_cordoba_ampliado[[#This Row],[Género Víctima]]="Masculino","🚹","🚺")</f>
        <v>🚺</v>
      </c>
      <c r="U366">
        <v>2</v>
      </c>
      <c r="V366" s="3" t="s">
        <v>25</v>
      </c>
      <c r="W366" s="3" t="s">
        <v>24</v>
      </c>
      <c r="X366" s="3" t="s">
        <v>41</v>
      </c>
      <c r="Y366" s="3" t="s">
        <v>24</v>
      </c>
      <c r="Z366" s="3" t="s">
        <v>25</v>
      </c>
      <c r="AA366" s="3" t="s">
        <v>25</v>
      </c>
      <c r="AB366" s="3" t="str">
        <f>IF(crimenes_cordoba_ampliado[[#This Row],[Hubo Arresto]]="Sí", "Resuelto", "Pendiente")</f>
        <v>Pendiente</v>
      </c>
      <c r="AC366" s="3" t="s">
        <v>24</v>
      </c>
      <c r="AD366" s="3"/>
    </row>
    <row r="367" spans="1:30" x14ac:dyDescent="0.25">
      <c r="A367">
        <v>345</v>
      </c>
      <c r="B367" s="1">
        <v>43636</v>
      </c>
      <c r="C367" s="33">
        <f t="shared" si="10"/>
        <v>43636</v>
      </c>
      <c r="D367" s="34">
        <f t="shared" si="11"/>
        <v>43636</v>
      </c>
      <c r="E367" s="35" t="s">
        <v>1454</v>
      </c>
      <c r="F367" s="2">
        <v>0.70416666666666672</v>
      </c>
      <c r="G367" s="3" t="s">
        <v>51</v>
      </c>
      <c r="H367" s="3" t="s">
        <v>32</v>
      </c>
      <c r="I367" s="25" t="str">
        <f>VLOOKUP(H367,Tabla5[#All],4,FALSE)</f>
        <v>-31,4148488101991, -64,1793406489438</v>
      </c>
      <c r="J367" s="1">
        <v>19698</v>
      </c>
      <c r="K367" s="7">
        <f>INT((crimenes_cordoba_ampliado[[#This Row],[Fecha]]-crimenes_cordoba_ampliado[[#This Row],[Fecha Nac. Delincuente]])/365)</f>
        <v>65</v>
      </c>
      <c r="L367" s="7" t="str">
        <f>_xlfn.XLOOKUP(crimenes_cordoba_ampliado[[#This Row],[EDAD DELINCUENTE]],'Rango etareo'!$A$10:$A$25,'Rango etareo'!$B$10:$B$25,,-1)</f>
        <v>&gt;65</v>
      </c>
      <c r="M367" s="3" t="s">
        <v>21</v>
      </c>
      <c r="N367" s="3" t="str">
        <f>IF(crimenes_cordoba_ampliado[[#This Row],[Género Delincuente]]="Femenino","🚺","🚹")</f>
        <v>🚺</v>
      </c>
      <c r="O367">
        <v>5</v>
      </c>
      <c r="P367" s="1">
        <v>25849</v>
      </c>
      <c r="Q367" s="7">
        <f>INT((crimenes_cordoba_ampliado[[#This Row],[Fecha]]-crimenes_cordoba_ampliado[[#This Row],[Fecha Nac. Víctima]])/365)</f>
        <v>48</v>
      </c>
      <c r="R367" s="7" t="str">
        <f>_xlfn.XLOOKUP(crimenes_cordoba_ampliado[[#This Row],[EDAD VICTIMA]],'Rango etareo'!$A$2:$A$25,'Rango etareo'!$B$2:$B$25,,-1)</f>
        <v>46 - 55</v>
      </c>
      <c r="S367" s="3" t="s">
        <v>22</v>
      </c>
      <c r="T367" s="3" t="str">
        <f>IF(crimenes_cordoba_ampliado[[#This Row],[Género Víctima]]="Masculino","🚹","🚺")</f>
        <v>🚹</v>
      </c>
      <c r="U367">
        <v>2</v>
      </c>
      <c r="V367" s="3" t="s">
        <v>23</v>
      </c>
      <c r="W367" s="3" t="s">
        <v>24</v>
      </c>
      <c r="X367" s="3" t="s">
        <v>24</v>
      </c>
      <c r="Y367" s="3" t="s">
        <v>43</v>
      </c>
      <c r="Z367" s="3" t="s">
        <v>25</v>
      </c>
      <c r="AA367" s="3" t="s">
        <v>25</v>
      </c>
      <c r="AB367" s="3" t="str">
        <f>IF(crimenes_cordoba_ampliado[[#This Row],[Hubo Arresto]]="Sí", "Resuelto", "Pendiente")</f>
        <v>Resuelto</v>
      </c>
      <c r="AC367" s="3" t="s">
        <v>221</v>
      </c>
      <c r="AD367" s="3"/>
    </row>
    <row r="368" spans="1:30" x14ac:dyDescent="0.25">
      <c r="A368">
        <v>737</v>
      </c>
      <c r="B368" s="1">
        <v>43493</v>
      </c>
      <c r="C368" s="33">
        <f t="shared" si="10"/>
        <v>43493</v>
      </c>
      <c r="D368" s="34">
        <f t="shared" si="11"/>
        <v>43493</v>
      </c>
      <c r="E368" s="35" t="s">
        <v>1452</v>
      </c>
      <c r="F368" s="2">
        <v>0.30972222222222223</v>
      </c>
      <c r="G368" s="3" t="s">
        <v>51</v>
      </c>
      <c r="H368" s="3" t="s">
        <v>65</v>
      </c>
      <c r="I368" s="25" t="str">
        <f>VLOOKUP(H368,Tabla5[#All],4,FALSE)</f>
        <v>-31,4285567311661, -64,1853198281007</v>
      </c>
      <c r="J368" s="1">
        <v>33665</v>
      </c>
      <c r="K368" s="7">
        <f>INT((crimenes_cordoba_ampliado[[#This Row],[Fecha]]-crimenes_cordoba_ampliado[[#This Row],[Fecha Nac. Delincuente]])/365)</f>
        <v>26</v>
      </c>
      <c r="L368" s="7" t="str">
        <f>_xlfn.XLOOKUP(crimenes_cordoba_ampliado[[#This Row],[EDAD DELINCUENTE]],'Rango etareo'!$A$10:$A$25,'Rango etareo'!$B$10:$B$25,,-1)</f>
        <v>26 - 35</v>
      </c>
      <c r="M368" s="3" t="s">
        <v>21</v>
      </c>
      <c r="N368" s="3" t="str">
        <f>IF(crimenes_cordoba_ampliado[[#This Row],[Género Delincuente]]="Femenino","🚺","🚹")</f>
        <v>🚺</v>
      </c>
      <c r="O368">
        <v>1</v>
      </c>
      <c r="P368" s="1">
        <v>22793</v>
      </c>
      <c r="Q368" s="7">
        <f>INT((crimenes_cordoba_ampliado[[#This Row],[Fecha]]-crimenes_cordoba_ampliado[[#This Row],[Fecha Nac. Víctima]])/365)</f>
        <v>56</v>
      </c>
      <c r="R368" s="7" t="str">
        <f>_xlfn.XLOOKUP(crimenes_cordoba_ampliado[[#This Row],[EDAD VICTIMA]],'Rango etareo'!$A$2:$A$25,'Rango etareo'!$B$2:$B$25,,-1)</f>
        <v>56 - 65</v>
      </c>
      <c r="S368" s="3" t="s">
        <v>22</v>
      </c>
      <c r="T368" s="3" t="str">
        <f>IF(crimenes_cordoba_ampliado[[#This Row],[Género Víctima]]="Masculino","🚹","🚺")</f>
        <v>🚹</v>
      </c>
      <c r="U368">
        <v>3</v>
      </c>
      <c r="V368" s="3" t="s">
        <v>25</v>
      </c>
      <c r="W368" s="3" t="s">
        <v>24</v>
      </c>
      <c r="X368" s="3" t="s">
        <v>24</v>
      </c>
      <c r="Y368" s="3" t="s">
        <v>106</v>
      </c>
      <c r="Z368" s="3" t="s">
        <v>25</v>
      </c>
      <c r="AA368" s="3" t="s">
        <v>25</v>
      </c>
      <c r="AB368" s="3" t="str">
        <f>IF(crimenes_cordoba_ampliado[[#This Row],[Hubo Arresto]]="Sí", "Resuelto", "Pendiente")</f>
        <v>Pendiente</v>
      </c>
      <c r="AC368" s="3" t="s">
        <v>24</v>
      </c>
      <c r="AD368" s="3"/>
    </row>
    <row r="369" spans="1:30" x14ac:dyDescent="0.25">
      <c r="A369">
        <v>346</v>
      </c>
      <c r="B369" s="1">
        <v>42862</v>
      </c>
      <c r="C369" s="33">
        <f t="shared" si="10"/>
        <v>42862</v>
      </c>
      <c r="D369" s="34">
        <f t="shared" si="11"/>
        <v>42862</v>
      </c>
      <c r="E369" s="35" t="s">
        <v>1449</v>
      </c>
      <c r="F369" s="2">
        <v>0.95486111111111116</v>
      </c>
      <c r="G369" s="3" t="s">
        <v>42</v>
      </c>
      <c r="H369" s="3" t="s">
        <v>52</v>
      </c>
      <c r="I369" s="25" t="str">
        <f>VLOOKUP(H369,Tabla5[#All],4,FALSE)</f>
        <v>-31,3477902896523, -64,2644406169297</v>
      </c>
      <c r="J369" s="1">
        <v>31845</v>
      </c>
      <c r="K369" s="7">
        <f>INT((crimenes_cordoba_ampliado[[#This Row],[Fecha]]-crimenes_cordoba_ampliado[[#This Row],[Fecha Nac. Delincuente]])/365)</f>
        <v>30</v>
      </c>
      <c r="L369" s="7" t="str">
        <f>_xlfn.XLOOKUP(crimenes_cordoba_ampliado[[#This Row],[EDAD DELINCUENTE]],'Rango etareo'!$A$10:$A$25,'Rango etareo'!$B$10:$B$25,,-1)</f>
        <v>26 - 35</v>
      </c>
      <c r="M369" s="3" t="s">
        <v>22</v>
      </c>
      <c r="N369" s="3" t="str">
        <f>IF(crimenes_cordoba_ampliado[[#This Row],[Género Delincuente]]="Femenino","🚺","🚹")</f>
        <v>🚹</v>
      </c>
      <c r="O369">
        <v>3</v>
      </c>
      <c r="P369" s="1">
        <v>39601</v>
      </c>
      <c r="Q369" s="7">
        <f>INT((crimenes_cordoba_ampliado[[#This Row],[Fecha]]-crimenes_cordoba_ampliado[[#This Row],[Fecha Nac. Víctima]])/365)</f>
        <v>8</v>
      </c>
      <c r="R369" s="7" t="str">
        <f>_xlfn.XLOOKUP(crimenes_cordoba_ampliado[[#This Row],[EDAD VICTIMA]],'Rango etareo'!$A$2:$A$25,'Rango etareo'!$B$2:$B$25,,-1)</f>
        <v>&lt;=17</v>
      </c>
      <c r="S369" s="3" t="s">
        <v>22</v>
      </c>
      <c r="T369" s="3" t="str">
        <f>IF(crimenes_cordoba_ampliado[[#This Row],[Género Víctima]]="Masculino","🚹","🚺")</f>
        <v>🚹</v>
      </c>
      <c r="U369">
        <v>3</v>
      </c>
      <c r="V369" s="3" t="s">
        <v>23</v>
      </c>
      <c r="W369" s="3" t="s">
        <v>24</v>
      </c>
      <c r="X369" s="3" t="s">
        <v>50</v>
      </c>
      <c r="Y369" s="3" t="s">
        <v>24</v>
      </c>
      <c r="Z369" s="3" t="s">
        <v>25</v>
      </c>
      <c r="AA369" s="3" t="s">
        <v>25</v>
      </c>
      <c r="AB369" s="3" t="str">
        <f>IF(crimenes_cordoba_ampliado[[#This Row],[Hubo Arresto]]="Sí", "Resuelto", "Pendiente")</f>
        <v>Resuelto</v>
      </c>
      <c r="AC369" s="3" t="s">
        <v>222</v>
      </c>
      <c r="AD369" s="3"/>
    </row>
    <row r="370" spans="1:30" x14ac:dyDescent="0.25">
      <c r="A370">
        <v>347</v>
      </c>
      <c r="B370" s="1">
        <v>43897</v>
      </c>
      <c r="C370" s="33">
        <f t="shared" si="10"/>
        <v>43897</v>
      </c>
      <c r="D370" s="34">
        <f t="shared" si="11"/>
        <v>43897</v>
      </c>
      <c r="E370" s="35" t="s">
        <v>1451</v>
      </c>
      <c r="F370" s="2">
        <v>0.80138888888888893</v>
      </c>
      <c r="G370" s="3" t="s">
        <v>31</v>
      </c>
      <c r="H370" s="3" t="s">
        <v>20</v>
      </c>
      <c r="I370" s="25" t="str">
        <f>VLOOKUP(H370,Tabla5[#All],4,FALSE)</f>
        <v>-31,4800162965848, -64,2094200976892</v>
      </c>
      <c r="J370" s="1">
        <v>22284</v>
      </c>
      <c r="K370" s="7">
        <f>INT((crimenes_cordoba_ampliado[[#This Row],[Fecha]]-crimenes_cordoba_ampliado[[#This Row],[Fecha Nac. Delincuente]])/365)</f>
        <v>59</v>
      </c>
      <c r="L370" s="7" t="str">
        <f>_xlfn.XLOOKUP(crimenes_cordoba_ampliado[[#This Row],[EDAD DELINCUENTE]],'Rango etareo'!$A$10:$A$25,'Rango etareo'!$B$10:$B$25,,-1)</f>
        <v>56 - 65</v>
      </c>
      <c r="M370" s="3" t="s">
        <v>22</v>
      </c>
      <c r="N370" s="3" t="str">
        <f>IF(crimenes_cordoba_ampliado[[#This Row],[Género Delincuente]]="Femenino","🚺","🚹")</f>
        <v>🚹</v>
      </c>
      <c r="O370">
        <v>2</v>
      </c>
      <c r="P370" s="1">
        <v>33335</v>
      </c>
      <c r="Q370" s="7">
        <f>INT((crimenes_cordoba_ampliado[[#This Row],[Fecha]]-crimenes_cordoba_ampliado[[#This Row],[Fecha Nac. Víctima]])/365)</f>
        <v>28</v>
      </c>
      <c r="R370" s="7" t="str">
        <f>_xlfn.XLOOKUP(crimenes_cordoba_ampliado[[#This Row],[EDAD VICTIMA]],'Rango etareo'!$A$2:$A$25,'Rango etareo'!$B$2:$B$25,,-1)</f>
        <v>26 - 35</v>
      </c>
      <c r="S370" s="3" t="s">
        <v>21</v>
      </c>
      <c r="T370" s="3" t="str">
        <f>IF(crimenes_cordoba_ampliado[[#This Row],[Género Víctima]]="Masculino","🚹","🚺")</f>
        <v>🚺</v>
      </c>
      <c r="U370">
        <v>2</v>
      </c>
      <c r="V370" s="3" t="s">
        <v>23</v>
      </c>
      <c r="W370" s="3" t="s">
        <v>24</v>
      </c>
      <c r="X370" s="3" t="s">
        <v>24</v>
      </c>
      <c r="Y370" s="3" t="s">
        <v>80</v>
      </c>
      <c r="Z370" s="3" t="s">
        <v>23</v>
      </c>
      <c r="AA370" s="3" t="s">
        <v>25</v>
      </c>
      <c r="AB370" s="3" t="str">
        <f>IF(crimenes_cordoba_ampliado[[#This Row],[Hubo Arresto]]="Sí", "Resuelto", "Pendiente")</f>
        <v>Resuelto</v>
      </c>
      <c r="AC370" s="3" t="s">
        <v>223</v>
      </c>
      <c r="AD370" s="3"/>
    </row>
    <row r="371" spans="1:30" x14ac:dyDescent="0.25">
      <c r="A371">
        <v>732</v>
      </c>
      <c r="B371" s="1">
        <v>43505</v>
      </c>
      <c r="C371" s="33">
        <f t="shared" si="10"/>
        <v>43505</v>
      </c>
      <c r="D371" s="34">
        <f t="shared" si="11"/>
        <v>43505</v>
      </c>
      <c r="E371" s="35" t="s">
        <v>1451</v>
      </c>
      <c r="F371" s="2">
        <v>0.71597222222222223</v>
      </c>
      <c r="G371" s="3" t="s">
        <v>81</v>
      </c>
      <c r="H371" s="3" t="s">
        <v>28</v>
      </c>
      <c r="I371" s="25" t="str">
        <f>VLOOKUP(H371,Tabla5[#All],4,FALSE)</f>
        <v>-31,4129883640337, -64,1681120522587</v>
      </c>
      <c r="J371" s="1">
        <v>36369</v>
      </c>
      <c r="K371" s="7">
        <f>INT((crimenes_cordoba_ampliado[[#This Row],[Fecha]]-crimenes_cordoba_ampliado[[#This Row],[Fecha Nac. Delincuente]])/365)</f>
        <v>19</v>
      </c>
      <c r="L371" s="7" t="str">
        <f>_xlfn.XLOOKUP(crimenes_cordoba_ampliado[[#This Row],[EDAD DELINCUENTE]],'Rango etareo'!$A$10:$A$25,'Rango etareo'!$B$10:$B$25,,-1)</f>
        <v>18 - 25</v>
      </c>
      <c r="M371" s="3" t="s">
        <v>22</v>
      </c>
      <c r="N371" s="3" t="str">
        <f>IF(crimenes_cordoba_ampliado[[#This Row],[Género Delincuente]]="Femenino","🚺","🚹")</f>
        <v>🚹</v>
      </c>
      <c r="O371">
        <v>4</v>
      </c>
      <c r="P371" s="1">
        <v>31729</v>
      </c>
      <c r="Q371" s="7">
        <f>INT((crimenes_cordoba_ampliado[[#This Row],[Fecha]]-crimenes_cordoba_ampliado[[#This Row],[Fecha Nac. Víctima]])/365)</f>
        <v>32</v>
      </c>
      <c r="R371" s="7" t="str">
        <f>_xlfn.XLOOKUP(crimenes_cordoba_ampliado[[#This Row],[EDAD VICTIMA]],'Rango etareo'!$A$2:$A$25,'Rango etareo'!$B$2:$B$25,,-1)</f>
        <v>26 - 35</v>
      </c>
      <c r="S371" s="3" t="s">
        <v>22</v>
      </c>
      <c r="T371" s="3" t="str">
        <f>IF(crimenes_cordoba_ampliado[[#This Row],[Género Víctima]]="Masculino","🚹","🚺")</f>
        <v>🚹</v>
      </c>
      <c r="U371">
        <v>3</v>
      </c>
      <c r="V371" s="3" t="s">
        <v>25</v>
      </c>
      <c r="W371" s="3" t="s">
        <v>24</v>
      </c>
      <c r="X371" s="3" t="s">
        <v>24</v>
      </c>
      <c r="Y371" s="3" t="s">
        <v>56</v>
      </c>
      <c r="Z371" s="3" t="s">
        <v>25</v>
      </c>
      <c r="AA371" s="3" t="s">
        <v>25</v>
      </c>
      <c r="AB371" s="3" t="str">
        <f>IF(crimenes_cordoba_ampliado[[#This Row],[Hubo Arresto]]="Sí", "Resuelto", "Pendiente")</f>
        <v>Pendiente</v>
      </c>
      <c r="AC371" s="3" t="s">
        <v>24</v>
      </c>
      <c r="AD371" s="3"/>
    </row>
    <row r="372" spans="1:30" x14ac:dyDescent="0.25">
      <c r="A372">
        <v>858</v>
      </c>
      <c r="B372" s="1">
        <v>43506</v>
      </c>
      <c r="C372" s="33">
        <f t="shared" si="10"/>
        <v>43506</v>
      </c>
      <c r="D372" s="34">
        <f t="shared" si="11"/>
        <v>43506</v>
      </c>
      <c r="E372" s="35" t="s">
        <v>1449</v>
      </c>
      <c r="F372" s="2">
        <v>0.83819444444444446</v>
      </c>
      <c r="G372" s="3" t="s">
        <v>51</v>
      </c>
      <c r="H372" s="3" t="s">
        <v>65</v>
      </c>
      <c r="I372" s="25" t="str">
        <f>VLOOKUP(H372,Tabla5[#All],4,FALSE)</f>
        <v>-31,4285567311661, -64,1853198281007</v>
      </c>
      <c r="J372" s="1">
        <v>18892</v>
      </c>
      <c r="K372" s="7">
        <f>INT((crimenes_cordoba_ampliado[[#This Row],[Fecha]]-crimenes_cordoba_ampliado[[#This Row],[Fecha Nac. Delincuente]])/365)</f>
        <v>67</v>
      </c>
      <c r="L372" s="7" t="str">
        <f>_xlfn.XLOOKUP(crimenes_cordoba_ampliado[[#This Row],[EDAD DELINCUENTE]],'Rango etareo'!$A$10:$A$25,'Rango etareo'!$B$10:$B$25,,-1)</f>
        <v>&gt;65</v>
      </c>
      <c r="M372" s="3" t="s">
        <v>21</v>
      </c>
      <c r="N372" s="3" t="str">
        <f>IF(crimenes_cordoba_ampliado[[#This Row],[Género Delincuente]]="Femenino","🚺","🚹")</f>
        <v>🚺</v>
      </c>
      <c r="O372">
        <v>3</v>
      </c>
      <c r="P372" s="1">
        <v>30970</v>
      </c>
      <c r="Q372" s="7">
        <f>INT((crimenes_cordoba_ampliado[[#This Row],[Fecha]]-crimenes_cordoba_ampliado[[#This Row],[Fecha Nac. Víctima]])/365)</f>
        <v>34</v>
      </c>
      <c r="R372" s="7" t="str">
        <f>_xlfn.XLOOKUP(crimenes_cordoba_ampliado[[#This Row],[EDAD VICTIMA]],'Rango etareo'!$A$2:$A$25,'Rango etareo'!$B$2:$B$25,,-1)</f>
        <v>26 - 35</v>
      </c>
      <c r="S372" s="3" t="s">
        <v>21</v>
      </c>
      <c r="T372" s="3" t="str">
        <f>IF(crimenes_cordoba_ampliado[[#This Row],[Género Víctima]]="Masculino","🚹","🚺")</f>
        <v>🚺</v>
      </c>
      <c r="U372">
        <v>1</v>
      </c>
      <c r="V372" s="3" t="s">
        <v>25</v>
      </c>
      <c r="W372" s="3" t="s">
        <v>24</v>
      </c>
      <c r="X372" s="3" t="s">
        <v>24</v>
      </c>
      <c r="Y372" s="3" t="s">
        <v>98</v>
      </c>
      <c r="Z372" s="3" t="s">
        <v>25</v>
      </c>
      <c r="AA372" s="3" t="s">
        <v>25</v>
      </c>
      <c r="AB372" s="3" t="str">
        <f>IF(crimenes_cordoba_ampliado[[#This Row],[Hubo Arresto]]="Sí", "Resuelto", "Pendiente")</f>
        <v>Pendiente</v>
      </c>
      <c r="AC372" s="3" t="s">
        <v>24</v>
      </c>
      <c r="AD372" s="3"/>
    </row>
    <row r="373" spans="1:30" x14ac:dyDescent="0.25">
      <c r="A373">
        <v>359</v>
      </c>
      <c r="B373" s="1">
        <v>42711</v>
      </c>
      <c r="C373" s="33">
        <f t="shared" si="10"/>
        <v>42711</v>
      </c>
      <c r="D373" s="34">
        <f t="shared" si="11"/>
        <v>42711</v>
      </c>
      <c r="E373" s="35" t="s">
        <v>1450</v>
      </c>
      <c r="F373" s="2">
        <v>0.98819444444444449</v>
      </c>
      <c r="G373" s="3" t="s">
        <v>81</v>
      </c>
      <c r="H373" s="3" t="s">
        <v>20</v>
      </c>
      <c r="I373" s="25" t="str">
        <f>VLOOKUP(H373,Tabla5[#All],4,FALSE)</f>
        <v>-31,4800162965848, -64,2094200976892</v>
      </c>
      <c r="J373" s="1">
        <v>20919</v>
      </c>
      <c r="K373" s="7">
        <f>INT((crimenes_cordoba_ampliado[[#This Row],[Fecha]]-crimenes_cordoba_ampliado[[#This Row],[Fecha Nac. Delincuente]])/365)</f>
        <v>59</v>
      </c>
      <c r="L373" s="7" t="str">
        <f>_xlfn.XLOOKUP(crimenes_cordoba_ampliado[[#This Row],[EDAD DELINCUENTE]],'Rango etareo'!$A$10:$A$25,'Rango etareo'!$B$10:$B$25,,-1)</f>
        <v>56 - 65</v>
      </c>
      <c r="M373" s="3" t="s">
        <v>22</v>
      </c>
      <c r="N373" s="3" t="str">
        <f>IF(crimenes_cordoba_ampliado[[#This Row],[Género Delincuente]]="Femenino","🚺","🚹")</f>
        <v>🚹</v>
      </c>
      <c r="O373">
        <v>3</v>
      </c>
      <c r="P373" s="1">
        <v>41294</v>
      </c>
      <c r="Q373" s="7">
        <f>INT((crimenes_cordoba_ampliado[[#This Row],[Fecha]]-crimenes_cordoba_ampliado[[#This Row],[Fecha Nac. Víctima]])/365)</f>
        <v>3</v>
      </c>
      <c r="R373" s="7" t="str">
        <f>_xlfn.XLOOKUP(crimenes_cordoba_ampliado[[#This Row],[EDAD VICTIMA]],'Rango etareo'!$A$2:$A$25,'Rango etareo'!$B$2:$B$25,,-1)</f>
        <v>&lt;=17</v>
      </c>
      <c r="S373" s="3" t="s">
        <v>21</v>
      </c>
      <c r="T373" s="3" t="str">
        <f>IF(crimenes_cordoba_ampliado[[#This Row],[Género Víctima]]="Masculino","🚹","🚺")</f>
        <v>🚺</v>
      </c>
      <c r="U373">
        <v>3</v>
      </c>
      <c r="V373" s="3" t="s">
        <v>23</v>
      </c>
      <c r="W373" s="3" t="s">
        <v>63</v>
      </c>
      <c r="X373" s="3" t="s">
        <v>29</v>
      </c>
      <c r="Y373" s="3" t="s">
        <v>24</v>
      </c>
      <c r="Z373" s="3" t="s">
        <v>25</v>
      </c>
      <c r="AA373" s="3" t="s">
        <v>23</v>
      </c>
      <c r="AB373" s="3" t="str">
        <f>IF(crimenes_cordoba_ampliado[[#This Row],[Hubo Arresto]]="Sí", "Resuelto", "Pendiente")</f>
        <v>Resuelto</v>
      </c>
      <c r="AC373" s="3" t="s">
        <v>224</v>
      </c>
      <c r="AD373" s="3"/>
    </row>
    <row r="374" spans="1:30" x14ac:dyDescent="0.25">
      <c r="A374">
        <v>272</v>
      </c>
      <c r="B374" s="1">
        <v>43522</v>
      </c>
      <c r="C374" s="33">
        <f t="shared" si="10"/>
        <v>43522</v>
      </c>
      <c r="D374" s="34">
        <f t="shared" si="11"/>
        <v>43522</v>
      </c>
      <c r="E374" s="35" t="s">
        <v>1453</v>
      </c>
      <c r="F374" s="2">
        <v>0.65555555555555556</v>
      </c>
      <c r="G374" s="3" t="s">
        <v>81</v>
      </c>
      <c r="H374" s="3" t="s">
        <v>20</v>
      </c>
      <c r="I374" s="25" t="str">
        <f>VLOOKUP(H374,Tabla5[#All],4,FALSE)</f>
        <v>-31,4800162965848, -64,2094200976892</v>
      </c>
      <c r="J374" s="1">
        <v>35344</v>
      </c>
      <c r="K374" s="7">
        <f>INT((crimenes_cordoba_ampliado[[#This Row],[Fecha]]-crimenes_cordoba_ampliado[[#This Row],[Fecha Nac. Delincuente]])/365)</f>
        <v>22</v>
      </c>
      <c r="L374" s="7" t="str">
        <f>_xlfn.XLOOKUP(crimenes_cordoba_ampliado[[#This Row],[EDAD DELINCUENTE]],'Rango etareo'!$A$10:$A$25,'Rango etareo'!$B$10:$B$25,,-1)</f>
        <v>18 - 25</v>
      </c>
      <c r="M374" s="3" t="s">
        <v>21</v>
      </c>
      <c r="N374" s="3" t="str">
        <f>IF(crimenes_cordoba_ampliado[[#This Row],[Género Delincuente]]="Femenino","🚺","🚹")</f>
        <v>🚺</v>
      </c>
      <c r="O374">
        <v>1</v>
      </c>
      <c r="P374" s="1">
        <v>41131</v>
      </c>
      <c r="Q374" s="7">
        <f>INT((crimenes_cordoba_ampliado[[#This Row],[Fecha]]-crimenes_cordoba_ampliado[[#This Row],[Fecha Nac. Víctima]])/365)</f>
        <v>6</v>
      </c>
      <c r="R374" s="7" t="str">
        <f>_xlfn.XLOOKUP(crimenes_cordoba_ampliado[[#This Row],[EDAD VICTIMA]],'Rango etareo'!$A$2:$A$25,'Rango etareo'!$B$2:$B$25,,-1)</f>
        <v>&lt;=17</v>
      </c>
      <c r="S374" s="3" t="s">
        <v>21</v>
      </c>
      <c r="T374" s="3" t="str">
        <f>IF(crimenes_cordoba_ampliado[[#This Row],[Género Víctima]]="Masculino","🚹","🚺")</f>
        <v>🚺</v>
      </c>
      <c r="U374">
        <v>3</v>
      </c>
      <c r="V374" s="3" t="s">
        <v>25</v>
      </c>
      <c r="W374" s="3" t="s">
        <v>24</v>
      </c>
      <c r="X374" s="3" t="s">
        <v>24</v>
      </c>
      <c r="Y374" s="3" t="s">
        <v>106</v>
      </c>
      <c r="Z374" s="3" t="s">
        <v>25</v>
      </c>
      <c r="AA374" s="3" t="s">
        <v>23</v>
      </c>
      <c r="AB374" s="3" t="str">
        <f>IF(crimenes_cordoba_ampliado[[#This Row],[Hubo Arresto]]="Sí", "Resuelto", "Pendiente")</f>
        <v>Pendiente</v>
      </c>
      <c r="AC374" s="3" t="s">
        <v>24</v>
      </c>
      <c r="AD374" s="3"/>
    </row>
    <row r="375" spans="1:30" x14ac:dyDescent="0.25">
      <c r="A375">
        <v>615</v>
      </c>
      <c r="B375" s="1">
        <v>43523</v>
      </c>
      <c r="C375" s="33">
        <f t="shared" si="10"/>
        <v>43523</v>
      </c>
      <c r="D375" s="34">
        <f t="shared" si="11"/>
        <v>43523</v>
      </c>
      <c r="E375" s="35" t="s">
        <v>1450</v>
      </c>
      <c r="F375" s="2">
        <v>0.39930555555555558</v>
      </c>
      <c r="G375" s="3" t="s">
        <v>79</v>
      </c>
      <c r="H375" s="3" t="s">
        <v>40</v>
      </c>
      <c r="I375" s="25" t="str">
        <f>VLOOKUP(H375,Tabla5[#All],4,FALSE)</f>
        <v>-31,334500143441, -64,2460773260564</v>
      </c>
      <c r="J375" s="1">
        <v>27799</v>
      </c>
      <c r="K375" s="7">
        <f>INT((crimenes_cordoba_ampliado[[#This Row],[Fecha]]-crimenes_cordoba_ampliado[[#This Row],[Fecha Nac. Delincuente]])/365)</f>
        <v>43</v>
      </c>
      <c r="L375" s="7" t="str">
        <f>_xlfn.XLOOKUP(crimenes_cordoba_ampliado[[#This Row],[EDAD DELINCUENTE]],'Rango etareo'!$A$10:$A$25,'Rango etareo'!$B$10:$B$25,,-1)</f>
        <v>36 - 45</v>
      </c>
      <c r="M375" s="3" t="s">
        <v>22</v>
      </c>
      <c r="N375" s="3" t="str">
        <f>IF(crimenes_cordoba_ampliado[[#This Row],[Género Delincuente]]="Femenino","🚺","🚹")</f>
        <v>🚹</v>
      </c>
      <c r="O375">
        <v>2</v>
      </c>
      <c r="P375" s="1">
        <v>28600</v>
      </c>
      <c r="Q375" s="7">
        <f>INT((crimenes_cordoba_ampliado[[#This Row],[Fecha]]-crimenes_cordoba_ampliado[[#This Row],[Fecha Nac. Víctima]])/365)</f>
        <v>40</v>
      </c>
      <c r="R375" s="7" t="str">
        <f>_xlfn.XLOOKUP(crimenes_cordoba_ampliado[[#This Row],[EDAD VICTIMA]],'Rango etareo'!$A$2:$A$25,'Rango etareo'!$B$2:$B$25,,-1)</f>
        <v>36 - 45</v>
      </c>
      <c r="S375" s="3" t="s">
        <v>22</v>
      </c>
      <c r="T375" s="3" t="str">
        <f>IF(crimenes_cordoba_ampliado[[#This Row],[Género Víctima]]="Masculino","🚹","🚺")</f>
        <v>🚹</v>
      </c>
      <c r="U375">
        <v>3</v>
      </c>
      <c r="V375" s="3" t="s">
        <v>25</v>
      </c>
      <c r="W375" s="3" t="s">
        <v>24</v>
      </c>
      <c r="X375" s="3" t="s">
        <v>24</v>
      </c>
      <c r="Y375" s="3" t="s">
        <v>89</v>
      </c>
      <c r="Z375" s="3" t="s">
        <v>25</v>
      </c>
      <c r="AA375" s="3" t="s">
        <v>23</v>
      </c>
      <c r="AB375" s="3" t="str">
        <f>IF(crimenes_cordoba_ampliado[[#This Row],[Hubo Arresto]]="Sí", "Resuelto", "Pendiente")</f>
        <v>Pendiente</v>
      </c>
      <c r="AC375" s="3" t="s">
        <v>24</v>
      </c>
      <c r="AD375" s="3"/>
    </row>
    <row r="376" spans="1:30" x14ac:dyDescent="0.25">
      <c r="A376">
        <v>136</v>
      </c>
      <c r="B376" s="1">
        <v>43530</v>
      </c>
      <c r="C376" s="33">
        <f t="shared" si="10"/>
        <v>43530</v>
      </c>
      <c r="D376" s="34">
        <f t="shared" si="11"/>
        <v>43530</v>
      </c>
      <c r="E376" s="35" t="s">
        <v>1450</v>
      </c>
      <c r="F376" s="2">
        <v>0.44861111111111113</v>
      </c>
      <c r="G376" s="3" t="s">
        <v>51</v>
      </c>
      <c r="H376" s="3" t="s">
        <v>28</v>
      </c>
      <c r="I376" s="25" t="str">
        <f>VLOOKUP(H376,Tabla5[#All],4,FALSE)</f>
        <v>-31,4129883640337, -64,1681120522587</v>
      </c>
      <c r="J376" s="1">
        <v>28271</v>
      </c>
      <c r="K376" s="7">
        <f>INT((crimenes_cordoba_ampliado[[#This Row],[Fecha]]-crimenes_cordoba_ampliado[[#This Row],[Fecha Nac. Delincuente]])/365)</f>
        <v>41</v>
      </c>
      <c r="L376" s="7" t="str">
        <f>_xlfn.XLOOKUP(crimenes_cordoba_ampliado[[#This Row],[EDAD DELINCUENTE]],'Rango etareo'!$A$10:$A$25,'Rango etareo'!$B$10:$B$25,,-1)</f>
        <v>36 - 45</v>
      </c>
      <c r="M376" s="3" t="s">
        <v>22</v>
      </c>
      <c r="N376" s="3" t="str">
        <f>IF(crimenes_cordoba_ampliado[[#This Row],[Género Delincuente]]="Femenino","🚺","🚹")</f>
        <v>🚹</v>
      </c>
      <c r="O376">
        <v>1</v>
      </c>
      <c r="P376" s="1">
        <v>41438</v>
      </c>
      <c r="Q376" s="7">
        <f>INT((crimenes_cordoba_ampliado[[#This Row],[Fecha]]-crimenes_cordoba_ampliado[[#This Row],[Fecha Nac. Víctima]])/365)</f>
        <v>5</v>
      </c>
      <c r="R376" s="7" t="str">
        <f>_xlfn.XLOOKUP(crimenes_cordoba_ampliado[[#This Row],[EDAD VICTIMA]],'Rango etareo'!$A$2:$A$25,'Rango etareo'!$B$2:$B$25,,-1)</f>
        <v>&lt;=17</v>
      </c>
      <c r="S376" s="3" t="s">
        <v>22</v>
      </c>
      <c r="T376" s="3" t="str">
        <f>IF(crimenes_cordoba_ampliado[[#This Row],[Género Víctima]]="Masculino","🚹","🚺")</f>
        <v>🚹</v>
      </c>
      <c r="U376">
        <v>1</v>
      </c>
      <c r="V376" s="3" t="s">
        <v>25</v>
      </c>
      <c r="W376" s="3" t="s">
        <v>24</v>
      </c>
      <c r="X376" s="3" t="s">
        <v>24</v>
      </c>
      <c r="Y376" s="3" t="s">
        <v>72</v>
      </c>
      <c r="Z376" s="3" t="s">
        <v>23</v>
      </c>
      <c r="AA376" s="3" t="s">
        <v>23</v>
      </c>
      <c r="AB376" s="3" t="str">
        <f>IF(crimenes_cordoba_ampliado[[#This Row],[Hubo Arresto]]="Sí", "Resuelto", "Pendiente")</f>
        <v>Pendiente</v>
      </c>
      <c r="AC376" s="3" t="s">
        <v>24</v>
      </c>
      <c r="AD376" s="3"/>
    </row>
    <row r="377" spans="1:30" x14ac:dyDescent="0.25">
      <c r="A377">
        <v>276</v>
      </c>
      <c r="B377" s="1">
        <v>43532</v>
      </c>
      <c r="C377" s="33">
        <f t="shared" si="10"/>
        <v>43532</v>
      </c>
      <c r="D377" s="34">
        <f t="shared" si="11"/>
        <v>43532</v>
      </c>
      <c r="E377" s="35" t="s">
        <v>1455</v>
      </c>
      <c r="F377" s="2">
        <v>0.53749999999999998</v>
      </c>
      <c r="G377" s="3" t="s">
        <v>51</v>
      </c>
      <c r="H377" s="3" t="s">
        <v>62</v>
      </c>
      <c r="I377" s="25" t="str">
        <f>VLOOKUP(H377,Tabla5[#All],4,FALSE)</f>
        <v>-31,3909520937826, -64,1836424491715</v>
      </c>
      <c r="J377" s="1">
        <v>27842</v>
      </c>
      <c r="K377" s="7">
        <f>INT((crimenes_cordoba_ampliado[[#This Row],[Fecha]]-crimenes_cordoba_ampliado[[#This Row],[Fecha Nac. Delincuente]])/365)</f>
        <v>42</v>
      </c>
      <c r="L377" s="7" t="str">
        <f>_xlfn.XLOOKUP(crimenes_cordoba_ampliado[[#This Row],[EDAD DELINCUENTE]],'Rango etareo'!$A$10:$A$25,'Rango etareo'!$B$10:$B$25,,-1)</f>
        <v>36 - 45</v>
      </c>
      <c r="M377" s="3" t="s">
        <v>21</v>
      </c>
      <c r="N377" s="3" t="str">
        <f>IF(crimenes_cordoba_ampliado[[#This Row],[Género Delincuente]]="Femenino","🚺","🚹")</f>
        <v>🚺</v>
      </c>
      <c r="O377">
        <v>5</v>
      </c>
      <c r="P377" s="1">
        <v>16371</v>
      </c>
      <c r="Q377" s="7">
        <f>INT((crimenes_cordoba_ampliado[[#This Row],[Fecha]]-crimenes_cordoba_ampliado[[#This Row],[Fecha Nac. Víctima]])/365)</f>
        <v>74</v>
      </c>
      <c r="R377" s="7" t="str">
        <f>_xlfn.XLOOKUP(crimenes_cordoba_ampliado[[#This Row],[EDAD VICTIMA]],'Rango etareo'!$A$2:$A$25,'Rango etareo'!$B$2:$B$25,,-1)</f>
        <v>&gt;65</v>
      </c>
      <c r="S377" s="3" t="s">
        <v>22</v>
      </c>
      <c r="T377" s="3" t="str">
        <f>IF(crimenes_cordoba_ampliado[[#This Row],[Género Víctima]]="Masculino","🚹","🚺")</f>
        <v>🚹</v>
      </c>
      <c r="U377">
        <v>3</v>
      </c>
      <c r="V377" s="3" t="s">
        <v>25</v>
      </c>
      <c r="W377" s="3" t="s">
        <v>24</v>
      </c>
      <c r="X377" s="3" t="s">
        <v>24</v>
      </c>
      <c r="Y377" s="3" t="s">
        <v>24</v>
      </c>
      <c r="Z377" s="3" t="s">
        <v>25</v>
      </c>
      <c r="AA377" s="3" t="s">
        <v>23</v>
      </c>
      <c r="AB377" s="3" t="str">
        <f>IF(crimenes_cordoba_ampliado[[#This Row],[Hubo Arresto]]="Sí", "Resuelto", "Pendiente")</f>
        <v>Pendiente</v>
      </c>
      <c r="AC377" s="3" t="s">
        <v>24</v>
      </c>
      <c r="AD377" s="3"/>
    </row>
    <row r="378" spans="1:30" x14ac:dyDescent="0.25">
      <c r="A378">
        <v>87</v>
      </c>
      <c r="B378" s="1">
        <v>43540</v>
      </c>
      <c r="C378" s="33">
        <f t="shared" si="10"/>
        <v>43540</v>
      </c>
      <c r="D378" s="34">
        <f t="shared" si="11"/>
        <v>43540</v>
      </c>
      <c r="E378" s="35" t="s">
        <v>1451</v>
      </c>
      <c r="F378" s="2">
        <v>0.50902777777777775</v>
      </c>
      <c r="G378" s="3" t="s">
        <v>81</v>
      </c>
      <c r="H378" s="3" t="s">
        <v>28</v>
      </c>
      <c r="I378" s="25" t="str">
        <f>VLOOKUP(H378,Tabla5[#All],4,FALSE)</f>
        <v>-31,4129883640337, -64,1681120522587</v>
      </c>
      <c r="J378" s="1">
        <v>37401</v>
      </c>
      <c r="K378" s="7">
        <f>INT((crimenes_cordoba_ampliado[[#This Row],[Fecha]]-crimenes_cordoba_ampliado[[#This Row],[Fecha Nac. Delincuente]])/365)</f>
        <v>16</v>
      </c>
      <c r="L378" s="7" t="str">
        <f>_xlfn.XLOOKUP(crimenes_cordoba_ampliado[[#This Row],[EDAD DELINCUENTE]],'Rango etareo'!$A$10:$A$25,'Rango etareo'!$B$10:$B$25,,-1)</f>
        <v>&lt;=17</v>
      </c>
      <c r="M378" s="3" t="s">
        <v>22</v>
      </c>
      <c r="N378" s="3" t="str">
        <f>IF(crimenes_cordoba_ampliado[[#This Row],[Género Delincuente]]="Femenino","🚺","🚹")</f>
        <v>🚹</v>
      </c>
      <c r="O378">
        <v>4</v>
      </c>
      <c r="P378" s="1">
        <v>16997</v>
      </c>
      <c r="Q378" s="7">
        <f>INT((crimenes_cordoba_ampliado[[#This Row],[Fecha]]-crimenes_cordoba_ampliado[[#This Row],[Fecha Nac. Víctima]])/365)</f>
        <v>72</v>
      </c>
      <c r="R378" s="7" t="str">
        <f>_xlfn.XLOOKUP(crimenes_cordoba_ampliado[[#This Row],[EDAD VICTIMA]],'Rango etareo'!$A$2:$A$25,'Rango etareo'!$B$2:$B$25,,-1)</f>
        <v>&gt;65</v>
      </c>
      <c r="S378" s="3" t="s">
        <v>22</v>
      </c>
      <c r="T378" s="3" t="str">
        <f>IF(crimenes_cordoba_ampliado[[#This Row],[Género Víctima]]="Masculino","🚹","🚺")</f>
        <v>🚹</v>
      </c>
      <c r="U378">
        <v>3</v>
      </c>
      <c r="V378" s="3" t="s">
        <v>25</v>
      </c>
      <c r="W378" s="3" t="s">
        <v>24</v>
      </c>
      <c r="X378" s="3" t="s">
        <v>24</v>
      </c>
      <c r="Y378" s="3" t="s">
        <v>72</v>
      </c>
      <c r="Z378" s="3" t="s">
        <v>25</v>
      </c>
      <c r="AA378" s="3" t="s">
        <v>23</v>
      </c>
      <c r="AB378" s="3" t="str">
        <f>IF(crimenes_cordoba_ampliado[[#This Row],[Hubo Arresto]]="Sí", "Resuelto", "Pendiente")</f>
        <v>Pendiente</v>
      </c>
      <c r="AC378" s="3" t="s">
        <v>24</v>
      </c>
      <c r="AD378" s="3"/>
    </row>
    <row r="379" spans="1:30" x14ac:dyDescent="0.25">
      <c r="A379">
        <v>408</v>
      </c>
      <c r="B379" s="1">
        <v>43543</v>
      </c>
      <c r="C379" s="33">
        <f t="shared" si="10"/>
        <v>43543</v>
      </c>
      <c r="D379" s="34">
        <f t="shared" si="11"/>
        <v>43543</v>
      </c>
      <c r="E379" s="35" t="s">
        <v>1453</v>
      </c>
      <c r="F379" s="2">
        <v>0.4152777777777778</v>
      </c>
      <c r="G379" s="3" t="s">
        <v>81</v>
      </c>
      <c r="H379" s="3" t="s">
        <v>40</v>
      </c>
      <c r="I379" s="25" t="str">
        <f>VLOOKUP(H379,Tabla5[#All],4,FALSE)</f>
        <v>-31,334500143441, -64,2460773260564</v>
      </c>
      <c r="J379" s="1">
        <v>28529</v>
      </c>
      <c r="K379" s="7">
        <f>INT((crimenes_cordoba_ampliado[[#This Row],[Fecha]]-crimenes_cordoba_ampliado[[#This Row],[Fecha Nac. Delincuente]])/365)</f>
        <v>41</v>
      </c>
      <c r="L379" s="7" t="str">
        <f>_xlfn.XLOOKUP(crimenes_cordoba_ampliado[[#This Row],[EDAD DELINCUENTE]],'Rango etareo'!$A$10:$A$25,'Rango etareo'!$B$10:$B$25,,-1)</f>
        <v>36 - 45</v>
      </c>
      <c r="M379" s="3" t="s">
        <v>21</v>
      </c>
      <c r="N379" s="3" t="str">
        <f>IF(crimenes_cordoba_ampliado[[#This Row],[Género Delincuente]]="Femenino","🚺","🚹")</f>
        <v>🚺</v>
      </c>
      <c r="O379">
        <v>2</v>
      </c>
      <c r="P379" s="1">
        <v>18100</v>
      </c>
      <c r="Q379" s="7">
        <f>INT((crimenes_cordoba_ampliado[[#This Row],[Fecha]]-crimenes_cordoba_ampliado[[#This Row],[Fecha Nac. Víctima]])/365)</f>
        <v>69</v>
      </c>
      <c r="R379" s="7" t="str">
        <f>_xlfn.XLOOKUP(crimenes_cordoba_ampliado[[#This Row],[EDAD VICTIMA]],'Rango etareo'!$A$2:$A$25,'Rango etareo'!$B$2:$B$25,,-1)</f>
        <v>&gt;65</v>
      </c>
      <c r="S379" s="3" t="s">
        <v>21</v>
      </c>
      <c r="T379" s="3" t="str">
        <f>IF(crimenes_cordoba_ampliado[[#This Row],[Género Víctima]]="Masculino","🚹","🚺")</f>
        <v>🚺</v>
      </c>
      <c r="U379">
        <v>3</v>
      </c>
      <c r="V379" s="3" t="s">
        <v>25</v>
      </c>
      <c r="W379" s="3" t="s">
        <v>24</v>
      </c>
      <c r="X379" s="3" t="s">
        <v>24</v>
      </c>
      <c r="Y379" s="3" t="s">
        <v>39</v>
      </c>
      <c r="Z379" s="3" t="s">
        <v>23</v>
      </c>
      <c r="AA379" s="3" t="s">
        <v>23</v>
      </c>
      <c r="AB379" s="3" t="str">
        <f>IF(crimenes_cordoba_ampliado[[#This Row],[Hubo Arresto]]="Sí", "Resuelto", "Pendiente")</f>
        <v>Pendiente</v>
      </c>
      <c r="AC379" s="3" t="s">
        <v>24</v>
      </c>
      <c r="AD379" s="3"/>
    </row>
    <row r="380" spans="1:30" x14ac:dyDescent="0.25">
      <c r="A380">
        <v>760</v>
      </c>
      <c r="B380" s="1">
        <v>43546</v>
      </c>
      <c r="C380" s="33">
        <f t="shared" si="10"/>
        <v>43546</v>
      </c>
      <c r="D380" s="34">
        <f t="shared" si="11"/>
        <v>43546</v>
      </c>
      <c r="E380" s="35" t="s">
        <v>1455</v>
      </c>
      <c r="F380" s="2">
        <v>0.69027777777777777</v>
      </c>
      <c r="G380" s="3" t="s">
        <v>38</v>
      </c>
      <c r="H380" s="3" t="s">
        <v>58</v>
      </c>
      <c r="I380" s="25" t="str">
        <f>VLOOKUP(H380,Tabla5[#All],4,FALSE)</f>
        <v>-31,423018915313, -64,1493562190664</v>
      </c>
      <c r="J380" s="1">
        <v>37996</v>
      </c>
      <c r="K380" s="7">
        <f>INT((crimenes_cordoba_ampliado[[#This Row],[Fecha]]-crimenes_cordoba_ampliado[[#This Row],[Fecha Nac. Delincuente]])/365)</f>
        <v>15</v>
      </c>
      <c r="L380" s="7" t="str">
        <f>_xlfn.XLOOKUP(crimenes_cordoba_ampliado[[#This Row],[EDAD DELINCUENTE]],'Rango etareo'!$A$10:$A$25,'Rango etareo'!$B$10:$B$25,,-1)</f>
        <v>&lt;=17</v>
      </c>
      <c r="M380" s="3" t="s">
        <v>21</v>
      </c>
      <c r="N380" s="3" t="str">
        <f>IF(crimenes_cordoba_ampliado[[#This Row],[Género Delincuente]]="Femenino","🚺","🚹")</f>
        <v>🚺</v>
      </c>
      <c r="O380">
        <v>2</v>
      </c>
      <c r="P380" s="1">
        <v>28216</v>
      </c>
      <c r="Q380" s="7">
        <f>INT((crimenes_cordoba_ampliado[[#This Row],[Fecha]]-crimenes_cordoba_ampliado[[#This Row],[Fecha Nac. Víctima]])/365)</f>
        <v>42</v>
      </c>
      <c r="R380" s="7" t="str">
        <f>_xlfn.XLOOKUP(crimenes_cordoba_ampliado[[#This Row],[EDAD VICTIMA]],'Rango etareo'!$A$2:$A$25,'Rango etareo'!$B$2:$B$25,,-1)</f>
        <v>36 - 45</v>
      </c>
      <c r="S380" s="3" t="s">
        <v>22</v>
      </c>
      <c r="T380" s="3" t="str">
        <f>IF(crimenes_cordoba_ampliado[[#This Row],[Género Víctima]]="Masculino","🚹","🚺")</f>
        <v>🚹</v>
      </c>
      <c r="U380">
        <v>3</v>
      </c>
      <c r="V380" s="3" t="s">
        <v>25</v>
      </c>
      <c r="W380" s="3" t="s">
        <v>24</v>
      </c>
      <c r="X380" s="3" t="s">
        <v>24</v>
      </c>
      <c r="Y380" s="3" t="s">
        <v>113</v>
      </c>
      <c r="Z380" s="3" t="s">
        <v>25</v>
      </c>
      <c r="AA380" s="3" t="s">
        <v>23</v>
      </c>
      <c r="AB380" s="3" t="str">
        <f>IF(crimenes_cordoba_ampliado[[#This Row],[Hubo Arresto]]="Sí", "Resuelto", "Pendiente")</f>
        <v>Pendiente</v>
      </c>
      <c r="AC380" s="3" t="s">
        <v>24</v>
      </c>
      <c r="AD380" s="3"/>
    </row>
    <row r="381" spans="1:30" x14ac:dyDescent="0.25">
      <c r="A381">
        <v>361</v>
      </c>
      <c r="B381" s="1">
        <v>44350</v>
      </c>
      <c r="C381" s="33">
        <f t="shared" si="10"/>
        <v>44350</v>
      </c>
      <c r="D381" s="34">
        <f t="shared" si="11"/>
        <v>44350</v>
      </c>
      <c r="E381" s="35" t="s">
        <v>1454</v>
      </c>
      <c r="F381" s="2">
        <v>0.57222222222222219</v>
      </c>
      <c r="G381" s="3" t="s">
        <v>35</v>
      </c>
      <c r="H381" s="3" t="s">
        <v>40</v>
      </c>
      <c r="I381" s="25" t="str">
        <f>VLOOKUP(H381,Tabla5[#All],4,FALSE)</f>
        <v>-31,334500143441, -64,2460773260564</v>
      </c>
      <c r="J381" s="1">
        <v>25341</v>
      </c>
      <c r="K381" s="7">
        <f>INT((crimenes_cordoba_ampliado[[#This Row],[Fecha]]-crimenes_cordoba_ampliado[[#This Row],[Fecha Nac. Delincuente]])/365)</f>
        <v>52</v>
      </c>
      <c r="L381" s="7" t="str">
        <f>_xlfn.XLOOKUP(crimenes_cordoba_ampliado[[#This Row],[EDAD DELINCUENTE]],'Rango etareo'!$A$10:$A$25,'Rango etareo'!$B$10:$B$25,,-1)</f>
        <v>46 - 55</v>
      </c>
      <c r="M381" s="3" t="s">
        <v>21</v>
      </c>
      <c r="N381" s="3" t="str">
        <f>IF(crimenes_cordoba_ampliado[[#This Row],[Género Delincuente]]="Femenino","🚺","🚹")</f>
        <v>🚺</v>
      </c>
      <c r="O381">
        <v>5</v>
      </c>
      <c r="P381" s="1">
        <v>17340</v>
      </c>
      <c r="Q381" s="7">
        <f>INT((crimenes_cordoba_ampliado[[#This Row],[Fecha]]-crimenes_cordoba_ampliado[[#This Row],[Fecha Nac. Víctima]])/365)</f>
        <v>74</v>
      </c>
      <c r="R381" s="7" t="str">
        <f>_xlfn.XLOOKUP(crimenes_cordoba_ampliado[[#This Row],[EDAD VICTIMA]],'Rango etareo'!$A$2:$A$25,'Rango etareo'!$B$2:$B$25,,-1)</f>
        <v>&gt;65</v>
      </c>
      <c r="S381" s="3" t="s">
        <v>22</v>
      </c>
      <c r="T381" s="3" t="str">
        <f>IF(crimenes_cordoba_ampliado[[#This Row],[Género Víctima]]="Masculino","🚹","🚺")</f>
        <v>🚹</v>
      </c>
      <c r="U381">
        <v>2</v>
      </c>
      <c r="V381" s="3" t="s">
        <v>23</v>
      </c>
      <c r="W381" s="3" t="s">
        <v>24</v>
      </c>
      <c r="X381" s="3" t="s">
        <v>24</v>
      </c>
      <c r="Y381" s="3" t="s">
        <v>24</v>
      </c>
      <c r="Z381" s="3" t="s">
        <v>23</v>
      </c>
      <c r="AA381" s="3" t="s">
        <v>23</v>
      </c>
      <c r="AB381" s="3" t="str">
        <f>IF(crimenes_cordoba_ampliado[[#This Row],[Hubo Arresto]]="Sí", "Resuelto", "Pendiente")</f>
        <v>Resuelto</v>
      </c>
      <c r="AC381" s="3" t="s">
        <v>225</v>
      </c>
      <c r="AD381" s="3"/>
    </row>
    <row r="382" spans="1:30" x14ac:dyDescent="0.25">
      <c r="A382">
        <v>593</v>
      </c>
      <c r="B382" s="1">
        <v>43552</v>
      </c>
      <c r="C382" s="33">
        <f t="shared" si="10"/>
        <v>43552</v>
      </c>
      <c r="D382" s="34">
        <f t="shared" si="11"/>
        <v>43552</v>
      </c>
      <c r="E382" s="35" t="s">
        <v>1454</v>
      </c>
      <c r="F382" s="2">
        <v>0.72986111111111107</v>
      </c>
      <c r="G382" s="3" t="s">
        <v>35</v>
      </c>
      <c r="H382" s="3" t="s">
        <v>52</v>
      </c>
      <c r="I382" s="25" t="str">
        <f>VLOOKUP(H382,Tabla5[#All],4,FALSE)</f>
        <v>-31,3477902896523, -64,2644406169297</v>
      </c>
      <c r="J382" s="1">
        <v>33411</v>
      </c>
      <c r="K382" s="7">
        <f>INT((crimenes_cordoba_ampliado[[#This Row],[Fecha]]-crimenes_cordoba_ampliado[[#This Row],[Fecha Nac. Delincuente]])/365)</f>
        <v>27</v>
      </c>
      <c r="L382" s="7" t="str">
        <f>_xlfn.XLOOKUP(crimenes_cordoba_ampliado[[#This Row],[EDAD DELINCUENTE]],'Rango etareo'!$A$10:$A$25,'Rango etareo'!$B$10:$B$25,,-1)</f>
        <v>26 - 35</v>
      </c>
      <c r="M382" s="3" t="s">
        <v>22</v>
      </c>
      <c r="N382" s="3" t="str">
        <f>IF(crimenes_cordoba_ampliado[[#This Row],[Género Delincuente]]="Femenino","🚺","🚹")</f>
        <v>🚹</v>
      </c>
      <c r="O382">
        <v>5</v>
      </c>
      <c r="P382" s="1">
        <v>41093</v>
      </c>
      <c r="Q382" s="7">
        <f>INT((crimenes_cordoba_ampliado[[#This Row],[Fecha]]-crimenes_cordoba_ampliado[[#This Row],[Fecha Nac. Víctima]])/365)</f>
        <v>6</v>
      </c>
      <c r="R382" s="7" t="str">
        <f>_xlfn.XLOOKUP(crimenes_cordoba_ampliado[[#This Row],[EDAD VICTIMA]],'Rango etareo'!$A$2:$A$25,'Rango etareo'!$B$2:$B$25,,-1)</f>
        <v>&lt;=17</v>
      </c>
      <c r="S382" s="3" t="s">
        <v>22</v>
      </c>
      <c r="T382" s="3" t="str">
        <f>IF(crimenes_cordoba_ampliado[[#This Row],[Género Víctima]]="Masculino","🚹","🚺")</f>
        <v>🚹</v>
      </c>
      <c r="U382">
        <v>1</v>
      </c>
      <c r="V382" s="3" t="s">
        <v>25</v>
      </c>
      <c r="W382" s="3" t="s">
        <v>24</v>
      </c>
      <c r="X382" s="3" t="s">
        <v>24</v>
      </c>
      <c r="Y382" s="3" t="s">
        <v>56</v>
      </c>
      <c r="Z382" s="3" t="s">
        <v>23</v>
      </c>
      <c r="AA382" s="3" t="s">
        <v>25</v>
      </c>
      <c r="AB382" s="3" t="str">
        <f>IF(crimenes_cordoba_ampliado[[#This Row],[Hubo Arresto]]="Sí", "Resuelto", "Pendiente")</f>
        <v>Pendiente</v>
      </c>
      <c r="AC382" s="3" t="s">
        <v>24</v>
      </c>
      <c r="AD382" s="3"/>
    </row>
    <row r="383" spans="1:30" x14ac:dyDescent="0.25">
      <c r="A383">
        <v>234</v>
      </c>
      <c r="B383" s="1">
        <v>43553</v>
      </c>
      <c r="C383" s="33">
        <f t="shared" si="10"/>
        <v>43553</v>
      </c>
      <c r="D383" s="34">
        <f t="shared" si="11"/>
        <v>43553</v>
      </c>
      <c r="E383" s="35" t="s">
        <v>1455</v>
      </c>
      <c r="F383" s="2">
        <v>0.30902777777777779</v>
      </c>
      <c r="G383" s="3" t="s">
        <v>31</v>
      </c>
      <c r="H383" s="3" t="s">
        <v>58</v>
      </c>
      <c r="I383" s="25" t="str">
        <f>VLOOKUP(H383,Tabla5[#All],4,FALSE)</f>
        <v>-31,423018915313, -64,1493562190664</v>
      </c>
      <c r="J383" s="1">
        <v>33195</v>
      </c>
      <c r="K383" s="7">
        <f>INT((crimenes_cordoba_ampliado[[#This Row],[Fecha]]-crimenes_cordoba_ampliado[[#This Row],[Fecha Nac. Delincuente]])/365)</f>
        <v>28</v>
      </c>
      <c r="L383" s="7" t="str">
        <f>_xlfn.XLOOKUP(crimenes_cordoba_ampliado[[#This Row],[EDAD DELINCUENTE]],'Rango etareo'!$A$10:$A$25,'Rango etareo'!$B$10:$B$25,,-1)</f>
        <v>26 - 35</v>
      </c>
      <c r="M383" s="3" t="s">
        <v>21</v>
      </c>
      <c r="N383" s="3" t="str">
        <f>IF(crimenes_cordoba_ampliado[[#This Row],[Género Delincuente]]="Femenino","🚺","🚹")</f>
        <v>🚺</v>
      </c>
      <c r="O383">
        <v>5</v>
      </c>
      <c r="P383" s="1">
        <v>36752</v>
      </c>
      <c r="Q383" s="7">
        <f>INT((crimenes_cordoba_ampliado[[#This Row],[Fecha]]-crimenes_cordoba_ampliado[[#This Row],[Fecha Nac. Víctima]])/365)</f>
        <v>18</v>
      </c>
      <c r="R383" s="7" t="str">
        <f>_xlfn.XLOOKUP(crimenes_cordoba_ampliado[[#This Row],[EDAD VICTIMA]],'Rango etareo'!$A$2:$A$25,'Rango etareo'!$B$2:$B$25,,-1)</f>
        <v>18 - 25</v>
      </c>
      <c r="S383" s="3" t="s">
        <v>21</v>
      </c>
      <c r="T383" s="3" t="str">
        <f>IF(crimenes_cordoba_ampliado[[#This Row],[Género Víctima]]="Masculino","🚹","🚺")</f>
        <v>🚺</v>
      </c>
      <c r="U383">
        <v>1</v>
      </c>
      <c r="V383" s="3" t="s">
        <v>25</v>
      </c>
      <c r="W383" s="3" t="s">
        <v>24</v>
      </c>
      <c r="X383" s="3" t="s">
        <v>24</v>
      </c>
      <c r="Y383" s="3" t="s">
        <v>46</v>
      </c>
      <c r="Z383" s="3" t="s">
        <v>25</v>
      </c>
      <c r="AA383" s="3" t="s">
        <v>25</v>
      </c>
      <c r="AB383" s="3" t="str">
        <f>IF(crimenes_cordoba_ampliado[[#This Row],[Hubo Arresto]]="Sí", "Resuelto", "Pendiente")</f>
        <v>Pendiente</v>
      </c>
      <c r="AC383" s="3" t="s">
        <v>24</v>
      </c>
      <c r="AD383" s="3"/>
    </row>
    <row r="384" spans="1:30" x14ac:dyDescent="0.25">
      <c r="A384">
        <v>362</v>
      </c>
      <c r="B384" s="1">
        <v>45071</v>
      </c>
      <c r="C384" s="33">
        <f t="shared" si="10"/>
        <v>45071</v>
      </c>
      <c r="D384" s="34">
        <f t="shared" si="11"/>
        <v>45071</v>
      </c>
      <c r="E384" s="35" t="s">
        <v>1454</v>
      </c>
      <c r="F384" s="2">
        <v>0.85069444444444442</v>
      </c>
      <c r="G384" s="3" t="s">
        <v>19</v>
      </c>
      <c r="H384" s="3" t="s">
        <v>58</v>
      </c>
      <c r="I384" s="25" t="str">
        <f>VLOOKUP(H384,Tabla5[#All],4,FALSE)</f>
        <v>-31,423018915313, -64,1493562190664</v>
      </c>
      <c r="J384" s="1">
        <v>25448</v>
      </c>
      <c r="K384" s="7">
        <f>INT((crimenes_cordoba_ampliado[[#This Row],[Fecha]]-crimenes_cordoba_ampliado[[#This Row],[Fecha Nac. Delincuente]])/365)</f>
        <v>53</v>
      </c>
      <c r="L384" s="7" t="str">
        <f>_xlfn.XLOOKUP(crimenes_cordoba_ampliado[[#This Row],[EDAD DELINCUENTE]],'Rango etareo'!$A$10:$A$25,'Rango etareo'!$B$10:$B$25,,-1)</f>
        <v>46 - 55</v>
      </c>
      <c r="M384" s="3" t="s">
        <v>22</v>
      </c>
      <c r="N384" s="3" t="str">
        <f>IF(crimenes_cordoba_ampliado[[#This Row],[Género Delincuente]]="Femenino","🚺","🚹")</f>
        <v>🚹</v>
      </c>
      <c r="O384">
        <v>3</v>
      </c>
      <c r="P384" s="1">
        <v>19401</v>
      </c>
      <c r="Q384" s="7">
        <f>INT((crimenes_cordoba_ampliado[[#This Row],[Fecha]]-crimenes_cordoba_ampliado[[#This Row],[Fecha Nac. Víctima]])/365)</f>
        <v>70</v>
      </c>
      <c r="R384" s="7" t="str">
        <f>_xlfn.XLOOKUP(crimenes_cordoba_ampliado[[#This Row],[EDAD VICTIMA]],'Rango etareo'!$A$2:$A$25,'Rango etareo'!$B$2:$B$25,,-1)</f>
        <v>&gt;65</v>
      </c>
      <c r="S384" s="3" t="s">
        <v>21</v>
      </c>
      <c r="T384" s="3" t="str">
        <f>IF(crimenes_cordoba_ampliado[[#This Row],[Género Víctima]]="Masculino","🚹","🚺")</f>
        <v>🚺</v>
      </c>
      <c r="U384">
        <v>3</v>
      </c>
      <c r="V384" s="3" t="s">
        <v>23</v>
      </c>
      <c r="W384" s="3" t="s">
        <v>24</v>
      </c>
      <c r="X384" s="3" t="s">
        <v>50</v>
      </c>
      <c r="Y384" s="3" t="s">
        <v>24</v>
      </c>
      <c r="Z384" s="3" t="s">
        <v>25</v>
      </c>
      <c r="AA384" s="3" t="s">
        <v>23</v>
      </c>
      <c r="AB384" s="3" t="str">
        <f>IF(crimenes_cordoba_ampliado[[#This Row],[Hubo Arresto]]="Sí", "Resuelto", "Pendiente")</f>
        <v>Resuelto</v>
      </c>
      <c r="AC384" s="3" t="s">
        <v>226</v>
      </c>
      <c r="AD384" s="3"/>
    </row>
    <row r="385" spans="1:30" x14ac:dyDescent="0.25">
      <c r="A385">
        <v>363</v>
      </c>
      <c r="B385" s="1">
        <v>43977</v>
      </c>
      <c r="C385" s="33">
        <f t="shared" si="10"/>
        <v>43977</v>
      </c>
      <c r="D385" s="34">
        <f t="shared" si="11"/>
        <v>43977</v>
      </c>
      <c r="E385" s="35" t="s">
        <v>1453</v>
      </c>
      <c r="F385" s="2">
        <v>0.37222222222222223</v>
      </c>
      <c r="G385" s="3" t="s">
        <v>45</v>
      </c>
      <c r="H385" s="3" t="s">
        <v>58</v>
      </c>
      <c r="I385" s="25" t="str">
        <f>VLOOKUP(H385,Tabla5[#All],4,FALSE)</f>
        <v>-31,423018915313, -64,1493562190664</v>
      </c>
      <c r="J385" s="1">
        <v>31942</v>
      </c>
      <c r="K385" s="7">
        <f>INT((crimenes_cordoba_ampliado[[#This Row],[Fecha]]-crimenes_cordoba_ampliado[[#This Row],[Fecha Nac. Delincuente]])/365)</f>
        <v>32</v>
      </c>
      <c r="L385" s="7" t="str">
        <f>_xlfn.XLOOKUP(crimenes_cordoba_ampliado[[#This Row],[EDAD DELINCUENTE]],'Rango etareo'!$A$10:$A$25,'Rango etareo'!$B$10:$B$25,,-1)</f>
        <v>26 - 35</v>
      </c>
      <c r="M385" s="3" t="s">
        <v>21</v>
      </c>
      <c r="N385" s="3" t="str">
        <f>IF(crimenes_cordoba_ampliado[[#This Row],[Género Delincuente]]="Femenino","🚺","🚹")</f>
        <v>🚺</v>
      </c>
      <c r="O385">
        <v>2</v>
      </c>
      <c r="P385" s="1">
        <v>29914</v>
      </c>
      <c r="Q385" s="7">
        <f>INT((crimenes_cordoba_ampliado[[#This Row],[Fecha]]-crimenes_cordoba_ampliado[[#This Row],[Fecha Nac. Víctima]])/365)</f>
        <v>38</v>
      </c>
      <c r="R385" s="7" t="str">
        <f>_xlfn.XLOOKUP(crimenes_cordoba_ampliado[[#This Row],[EDAD VICTIMA]],'Rango etareo'!$A$2:$A$25,'Rango etareo'!$B$2:$B$25,,-1)</f>
        <v>36 - 45</v>
      </c>
      <c r="S385" s="3" t="s">
        <v>22</v>
      </c>
      <c r="T385" s="3" t="str">
        <f>IF(crimenes_cordoba_ampliado[[#This Row],[Género Víctima]]="Masculino","🚹","🚺")</f>
        <v>🚹</v>
      </c>
      <c r="U385">
        <v>3</v>
      </c>
      <c r="V385" s="3" t="s">
        <v>23</v>
      </c>
      <c r="W385" s="3" t="s">
        <v>24</v>
      </c>
      <c r="X385" s="3" t="s">
        <v>24</v>
      </c>
      <c r="Y385" s="3" t="s">
        <v>53</v>
      </c>
      <c r="Z385" s="3" t="s">
        <v>25</v>
      </c>
      <c r="AA385" s="3" t="s">
        <v>25</v>
      </c>
      <c r="AB385" s="3" t="str">
        <f>IF(crimenes_cordoba_ampliado[[#This Row],[Hubo Arresto]]="Sí", "Resuelto", "Pendiente")</f>
        <v>Resuelto</v>
      </c>
      <c r="AC385" s="3" t="s">
        <v>34</v>
      </c>
      <c r="AD385" s="3"/>
    </row>
    <row r="386" spans="1:30" x14ac:dyDescent="0.25">
      <c r="A386">
        <v>364</v>
      </c>
      <c r="B386" s="1">
        <v>43290</v>
      </c>
      <c r="C386" s="33">
        <f t="shared" ref="C386:C449" si="12">B:B</f>
        <v>43290</v>
      </c>
      <c r="D386" s="34">
        <f t="shared" ref="D386:D449" si="13">B:B</f>
        <v>43290</v>
      </c>
      <c r="E386" s="35" t="s">
        <v>1452</v>
      </c>
      <c r="F386" s="2">
        <v>0.60138888888888886</v>
      </c>
      <c r="G386" s="3" t="s">
        <v>51</v>
      </c>
      <c r="H386" s="3" t="s">
        <v>55</v>
      </c>
      <c r="I386" s="25" t="str">
        <f>VLOOKUP(H386,Tabla5[#All],4,FALSE)</f>
        <v>-31,4015892433235, -64,160442876477</v>
      </c>
      <c r="J386" s="1">
        <v>28041</v>
      </c>
      <c r="K386" s="7">
        <f>INT((crimenes_cordoba_ampliado[[#This Row],[Fecha]]-crimenes_cordoba_ampliado[[#This Row],[Fecha Nac. Delincuente]])/365)</f>
        <v>41</v>
      </c>
      <c r="L386" s="7" t="str">
        <f>_xlfn.XLOOKUP(crimenes_cordoba_ampliado[[#This Row],[EDAD DELINCUENTE]],'Rango etareo'!$A$10:$A$25,'Rango etareo'!$B$10:$B$25,,-1)</f>
        <v>36 - 45</v>
      </c>
      <c r="M386" s="3" t="s">
        <v>22</v>
      </c>
      <c r="N386" s="3" t="str">
        <f>IF(crimenes_cordoba_ampliado[[#This Row],[Género Delincuente]]="Femenino","🚺","🚹")</f>
        <v>🚹</v>
      </c>
      <c r="O386">
        <v>1</v>
      </c>
      <c r="P386" s="1">
        <v>39302</v>
      </c>
      <c r="Q386" s="7">
        <f>INT((crimenes_cordoba_ampliado[[#This Row],[Fecha]]-crimenes_cordoba_ampliado[[#This Row],[Fecha Nac. Víctima]])/365)</f>
        <v>10</v>
      </c>
      <c r="R386" s="7" t="str">
        <f>_xlfn.XLOOKUP(crimenes_cordoba_ampliado[[#This Row],[EDAD VICTIMA]],'Rango etareo'!$A$2:$A$25,'Rango etareo'!$B$2:$B$25,,-1)</f>
        <v>&lt;=17</v>
      </c>
      <c r="S386" s="3" t="s">
        <v>22</v>
      </c>
      <c r="T386" s="3" t="str">
        <f>IF(crimenes_cordoba_ampliado[[#This Row],[Género Víctima]]="Masculino","🚹","🚺")</f>
        <v>🚹</v>
      </c>
      <c r="U386">
        <v>3</v>
      </c>
      <c r="V386" s="3" t="s">
        <v>23</v>
      </c>
      <c r="W386" s="3" t="s">
        <v>24</v>
      </c>
      <c r="X386" s="3" t="s">
        <v>67</v>
      </c>
      <c r="Y386" s="3" t="s">
        <v>24</v>
      </c>
      <c r="Z386" s="3" t="s">
        <v>25</v>
      </c>
      <c r="AA386" s="3" t="s">
        <v>25</v>
      </c>
      <c r="AB386" s="3" t="str">
        <f>IF(crimenes_cordoba_ampliado[[#This Row],[Hubo Arresto]]="Sí", "Resuelto", "Pendiente")</f>
        <v>Resuelto</v>
      </c>
      <c r="AC386" s="3" t="s">
        <v>227</v>
      </c>
      <c r="AD386" s="3"/>
    </row>
    <row r="387" spans="1:30" x14ac:dyDescent="0.25">
      <c r="A387">
        <v>883</v>
      </c>
      <c r="B387" s="1">
        <v>43560</v>
      </c>
      <c r="C387" s="33">
        <f t="shared" si="12"/>
        <v>43560</v>
      </c>
      <c r="D387" s="34">
        <f t="shared" si="13"/>
        <v>43560</v>
      </c>
      <c r="E387" s="35" t="s">
        <v>1455</v>
      </c>
      <c r="F387" s="2">
        <v>0.70416666666666672</v>
      </c>
      <c r="G387" s="3" t="s">
        <v>31</v>
      </c>
      <c r="H387" s="3" t="s">
        <v>55</v>
      </c>
      <c r="I387" s="25" t="str">
        <f>VLOOKUP(H387,Tabla5[#All],4,FALSE)</f>
        <v>-31,4015892433235, -64,160442876477</v>
      </c>
      <c r="J387" s="1">
        <v>21200</v>
      </c>
      <c r="K387" s="7">
        <f>INT((crimenes_cordoba_ampliado[[#This Row],[Fecha]]-crimenes_cordoba_ampliado[[#This Row],[Fecha Nac. Delincuente]])/365)</f>
        <v>61</v>
      </c>
      <c r="L387" s="7" t="str">
        <f>_xlfn.XLOOKUP(crimenes_cordoba_ampliado[[#This Row],[EDAD DELINCUENTE]],'Rango etareo'!$A$10:$A$25,'Rango etareo'!$B$10:$B$25,,-1)</f>
        <v>56 - 65</v>
      </c>
      <c r="M387" s="3" t="s">
        <v>22</v>
      </c>
      <c r="N387" s="3" t="str">
        <f>IF(crimenes_cordoba_ampliado[[#This Row],[Género Delincuente]]="Femenino","🚺","🚹")</f>
        <v>🚹</v>
      </c>
      <c r="O387">
        <v>5</v>
      </c>
      <c r="P387" s="1">
        <v>33174</v>
      </c>
      <c r="Q387" s="7">
        <f>INT((crimenes_cordoba_ampliado[[#This Row],[Fecha]]-crimenes_cordoba_ampliado[[#This Row],[Fecha Nac. Víctima]])/365)</f>
        <v>28</v>
      </c>
      <c r="R387" s="7" t="str">
        <f>_xlfn.XLOOKUP(crimenes_cordoba_ampliado[[#This Row],[EDAD VICTIMA]],'Rango etareo'!$A$2:$A$25,'Rango etareo'!$B$2:$B$25,,-1)</f>
        <v>26 - 35</v>
      </c>
      <c r="S387" s="3" t="s">
        <v>22</v>
      </c>
      <c r="T387" s="3" t="str">
        <f>IF(crimenes_cordoba_ampliado[[#This Row],[Género Víctima]]="Masculino","🚹","🚺")</f>
        <v>🚹</v>
      </c>
      <c r="U387">
        <v>3</v>
      </c>
      <c r="V387" s="3" t="s">
        <v>25</v>
      </c>
      <c r="W387" s="3" t="s">
        <v>24</v>
      </c>
      <c r="X387" s="3" t="s">
        <v>24</v>
      </c>
      <c r="Y387" s="3" t="s">
        <v>72</v>
      </c>
      <c r="Z387" s="3" t="s">
        <v>23</v>
      </c>
      <c r="AA387" s="3" t="s">
        <v>25</v>
      </c>
      <c r="AB387" s="3" t="str">
        <f>IF(crimenes_cordoba_ampliado[[#This Row],[Hubo Arresto]]="Sí", "Resuelto", "Pendiente")</f>
        <v>Pendiente</v>
      </c>
      <c r="AC387" s="3" t="s">
        <v>24</v>
      </c>
      <c r="AD387" s="3"/>
    </row>
    <row r="388" spans="1:30" x14ac:dyDescent="0.25">
      <c r="A388">
        <v>373</v>
      </c>
      <c r="B388" s="1">
        <v>43436</v>
      </c>
      <c r="C388" s="33">
        <f t="shared" si="12"/>
        <v>43436</v>
      </c>
      <c r="D388" s="34">
        <f t="shared" si="13"/>
        <v>43436</v>
      </c>
      <c r="E388" s="35" t="s">
        <v>1449</v>
      </c>
      <c r="F388" s="2">
        <v>0.98888888888888893</v>
      </c>
      <c r="G388" s="3" t="s">
        <v>48</v>
      </c>
      <c r="H388" s="3" t="s">
        <v>70</v>
      </c>
      <c r="I388" s="25" t="str">
        <f>VLOOKUP(H388,Tabla5[#All],4,FALSE)</f>
        <v>-31,3759272890294, -64,2284587792478</v>
      </c>
      <c r="J388" s="1">
        <v>24869</v>
      </c>
      <c r="K388" s="7">
        <f>INT((crimenes_cordoba_ampliado[[#This Row],[Fecha]]-crimenes_cordoba_ampliado[[#This Row],[Fecha Nac. Delincuente]])/365)</f>
        <v>50</v>
      </c>
      <c r="L388" s="7" t="str">
        <f>_xlfn.XLOOKUP(crimenes_cordoba_ampliado[[#This Row],[EDAD DELINCUENTE]],'Rango etareo'!$A$10:$A$25,'Rango etareo'!$B$10:$B$25,,-1)</f>
        <v>46 - 55</v>
      </c>
      <c r="M388" s="3" t="s">
        <v>21</v>
      </c>
      <c r="N388" s="3" t="str">
        <f>IF(crimenes_cordoba_ampliado[[#This Row],[Género Delincuente]]="Femenino","🚺","🚹")</f>
        <v>🚺</v>
      </c>
      <c r="O388">
        <v>5</v>
      </c>
      <c r="P388" s="1">
        <v>28864</v>
      </c>
      <c r="Q388" s="7">
        <f>INT((crimenes_cordoba_ampliado[[#This Row],[Fecha]]-crimenes_cordoba_ampliado[[#This Row],[Fecha Nac. Víctima]])/365)</f>
        <v>39</v>
      </c>
      <c r="R388" s="7" t="str">
        <f>_xlfn.XLOOKUP(crimenes_cordoba_ampliado[[#This Row],[EDAD VICTIMA]],'Rango etareo'!$A$2:$A$25,'Rango etareo'!$B$2:$B$25,,-1)</f>
        <v>36 - 45</v>
      </c>
      <c r="S388" s="3" t="s">
        <v>22</v>
      </c>
      <c r="T388" s="3" t="str">
        <f>IF(crimenes_cordoba_ampliado[[#This Row],[Género Víctima]]="Masculino","🚹","🚺")</f>
        <v>🚹</v>
      </c>
      <c r="U388">
        <v>2</v>
      </c>
      <c r="V388" s="3" t="s">
        <v>23</v>
      </c>
      <c r="W388" s="3" t="s">
        <v>63</v>
      </c>
      <c r="X388" s="3" t="s">
        <v>29</v>
      </c>
      <c r="Y388" s="3" t="s">
        <v>24</v>
      </c>
      <c r="Z388" s="3" t="s">
        <v>25</v>
      </c>
      <c r="AA388" s="3" t="s">
        <v>25</v>
      </c>
      <c r="AB388" s="3" t="str">
        <f>IF(crimenes_cordoba_ampliado[[#This Row],[Hubo Arresto]]="Sí", "Resuelto", "Pendiente")</f>
        <v>Resuelto</v>
      </c>
      <c r="AC388" s="3" t="s">
        <v>228</v>
      </c>
      <c r="AD388" s="3"/>
    </row>
    <row r="389" spans="1:30" x14ac:dyDescent="0.25">
      <c r="A389">
        <v>376</v>
      </c>
      <c r="B389" s="1">
        <v>42601</v>
      </c>
      <c r="C389" s="33">
        <f t="shared" si="12"/>
        <v>42601</v>
      </c>
      <c r="D389" s="34">
        <f t="shared" si="13"/>
        <v>42601</v>
      </c>
      <c r="E389" s="35" t="s">
        <v>1455</v>
      </c>
      <c r="F389" s="2">
        <v>0.83472222222222225</v>
      </c>
      <c r="G389" s="3" t="s">
        <v>45</v>
      </c>
      <c r="H389" s="3" t="s">
        <v>40</v>
      </c>
      <c r="I389" s="25" t="str">
        <f>VLOOKUP(H389,Tabla5[#All],4,FALSE)</f>
        <v>-31,334500143441, -64,2460773260564</v>
      </c>
      <c r="J389" s="1">
        <v>36388</v>
      </c>
      <c r="K389" s="7">
        <f>INT((crimenes_cordoba_ampliado[[#This Row],[Fecha]]-crimenes_cordoba_ampliado[[#This Row],[Fecha Nac. Delincuente]])/365)</f>
        <v>17</v>
      </c>
      <c r="L389" s="7" t="str">
        <f>_xlfn.XLOOKUP(crimenes_cordoba_ampliado[[#This Row],[EDAD DELINCUENTE]],'Rango etareo'!$A$10:$A$25,'Rango etareo'!$B$10:$B$25,,-1)</f>
        <v>&lt;=17</v>
      </c>
      <c r="M389" s="3" t="s">
        <v>21</v>
      </c>
      <c r="N389" s="3" t="str">
        <f>IF(crimenes_cordoba_ampliado[[#This Row],[Género Delincuente]]="Femenino","🚺","🚹")</f>
        <v>🚺</v>
      </c>
      <c r="O389">
        <v>2</v>
      </c>
      <c r="P389" s="1">
        <v>42332</v>
      </c>
      <c r="Q389" s="7">
        <f>INT((crimenes_cordoba_ampliado[[#This Row],[Fecha]]-crimenes_cordoba_ampliado[[#This Row],[Fecha Nac. Víctima]])/365)</f>
        <v>0</v>
      </c>
      <c r="R389" s="7" t="str">
        <f>_xlfn.XLOOKUP(crimenes_cordoba_ampliado[[#This Row],[EDAD VICTIMA]],'Rango etareo'!$A$2:$A$25,'Rango etareo'!$B$2:$B$25,,-1)</f>
        <v>&lt;=17</v>
      </c>
      <c r="S389" s="3" t="s">
        <v>21</v>
      </c>
      <c r="T389" s="3" t="str">
        <f>IF(crimenes_cordoba_ampliado[[#This Row],[Género Víctima]]="Masculino","🚹","🚺")</f>
        <v>🚺</v>
      </c>
      <c r="U389">
        <v>3</v>
      </c>
      <c r="V389" s="3" t="s">
        <v>23</v>
      </c>
      <c r="W389" s="3" t="s">
        <v>36</v>
      </c>
      <c r="X389" s="3" t="s">
        <v>67</v>
      </c>
      <c r="Y389" s="3" t="s">
        <v>24</v>
      </c>
      <c r="Z389" s="3" t="s">
        <v>23</v>
      </c>
      <c r="AA389" s="3" t="s">
        <v>23</v>
      </c>
      <c r="AB389" s="3" t="str">
        <f>IF(crimenes_cordoba_ampliado[[#This Row],[Hubo Arresto]]="Sí", "Resuelto", "Pendiente")</f>
        <v>Resuelto</v>
      </c>
      <c r="AC389" s="3" t="s">
        <v>114</v>
      </c>
      <c r="AD389" s="3"/>
    </row>
    <row r="390" spans="1:30" x14ac:dyDescent="0.25">
      <c r="A390">
        <v>645</v>
      </c>
      <c r="B390" s="1">
        <v>43575</v>
      </c>
      <c r="C390" s="33">
        <f t="shared" si="12"/>
        <v>43575</v>
      </c>
      <c r="D390" s="34">
        <f t="shared" si="13"/>
        <v>43575</v>
      </c>
      <c r="E390" s="35" t="s">
        <v>1451</v>
      </c>
      <c r="F390" s="2">
        <v>0.46666666666666667</v>
      </c>
      <c r="G390" s="3" t="s">
        <v>42</v>
      </c>
      <c r="H390" s="3" t="s">
        <v>60</v>
      </c>
      <c r="I390" s="25" t="str">
        <f>VLOOKUP(H390,Tabla5[#All],4,FALSE)</f>
        <v>-31,4076397196409, -64,2020170430678</v>
      </c>
      <c r="J390" s="1">
        <v>36699</v>
      </c>
      <c r="K390" s="7">
        <f>INT((crimenes_cordoba_ampliado[[#This Row],[Fecha]]-crimenes_cordoba_ampliado[[#This Row],[Fecha Nac. Delincuente]])/365)</f>
        <v>18</v>
      </c>
      <c r="L390" s="7" t="str">
        <f>_xlfn.XLOOKUP(crimenes_cordoba_ampliado[[#This Row],[EDAD DELINCUENTE]],'Rango etareo'!$A$10:$A$25,'Rango etareo'!$B$10:$B$25,,-1)</f>
        <v>18 - 25</v>
      </c>
      <c r="M390" s="3" t="s">
        <v>22</v>
      </c>
      <c r="N390" s="3" t="str">
        <f>IF(crimenes_cordoba_ampliado[[#This Row],[Género Delincuente]]="Femenino","🚺","🚹")</f>
        <v>🚹</v>
      </c>
      <c r="O390">
        <v>4</v>
      </c>
      <c r="P390" s="1">
        <v>31353</v>
      </c>
      <c r="Q390" s="7">
        <f>INT((crimenes_cordoba_ampliado[[#This Row],[Fecha]]-crimenes_cordoba_ampliado[[#This Row],[Fecha Nac. Víctima]])/365)</f>
        <v>33</v>
      </c>
      <c r="R390" s="7" t="str">
        <f>_xlfn.XLOOKUP(crimenes_cordoba_ampliado[[#This Row],[EDAD VICTIMA]],'Rango etareo'!$A$2:$A$25,'Rango etareo'!$B$2:$B$25,,-1)</f>
        <v>26 - 35</v>
      </c>
      <c r="S390" s="3" t="s">
        <v>22</v>
      </c>
      <c r="T390" s="3" t="str">
        <f>IF(crimenes_cordoba_ampliado[[#This Row],[Género Víctima]]="Masculino","🚹","🚺")</f>
        <v>🚹</v>
      </c>
      <c r="U390">
        <v>2</v>
      </c>
      <c r="V390" s="3" t="s">
        <v>25</v>
      </c>
      <c r="W390" s="3" t="s">
        <v>24</v>
      </c>
      <c r="X390" s="3" t="s">
        <v>24</v>
      </c>
      <c r="Y390" s="3" t="s">
        <v>72</v>
      </c>
      <c r="Z390" s="3" t="s">
        <v>25</v>
      </c>
      <c r="AA390" s="3" t="s">
        <v>25</v>
      </c>
      <c r="AB390" s="3" t="str">
        <f>IF(crimenes_cordoba_ampliado[[#This Row],[Hubo Arresto]]="Sí", "Resuelto", "Pendiente")</f>
        <v>Pendiente</v>
      </c>
      <c r="AC390" s="3" t="s">
        <v>24</v>
      </c>
      <c r="AD390" s="3"/>
    </row>
    <row r="391" spans="1:30" x14ac:dyDescent="0.25">
      <c r="A391">
        <v>471</v>
      </c>
      <c r="B391" s="1">
        <v>43580</v>
      </c>
      <c r="C391" s="33">
        <f t="shared" si="12"/>
        <v>43580</v>
      </c>
      <c r="D391" s="34">
        <f t="shared" si="13"/>
        <v>43580</v>
      </c>
      <c r="E391" s="35" t="s">
        <v>1454</v>
      </c>
      <c r="F391" s="2">
        <v>0.61319444444444449</v>
      </c>
      <c r="G391" s="3" t="s">
        <v>42</v>
      </c>
      <c r="H391" s="3" t="s">
        <v>55</v>
      </c>
      <c r="I391" s="25" t="str">
        <f>VLOOKUP(H391,Tabla5[#All],4,FALSE)</f>
        <v>-31,4015892433235, -64,160442876477</v>
      </c>
      <c r="J391" s="1">
        <v>23267</v>
      </c>
      <c r="K391" s="7">
        <f>INT((crimenes_cordoba_ampliado[[#This Row],[Fecha]]-crimenes_cordoba_ampliado[[#This Row],[Fecha Nac. Delincuente]])/365)</f>
        <v>55</v>
      </c>
      <c r="L391" s="7" t="str">
        <f>_xlfn.XLOOKUP(crimenes_cordoba_ampliado[[#This Row],[EDAD DELINCUENTE]],'Rango etareo'!$A$10:$A$25,'Rango etareo'!$B$10:$B$25,,-1)</f>
        <v>46 - 55</v>
      </c>
      <c r="M391" s="3" t="s">
        <v>21</v>
      </c>
      <c r="N391" s="3" t="str">
        <f>IF(crimenes_cordoba_ampliado[[#This Row],[Género Delincuente]]="Femenino","🚺","🚹")</f>
        <v>🚺</v>
      </c>
      <c r="O391">
        <v>3</v>
      </c>
      <c r="P391" s="1">
        <v>31523</v>
      </c>
      <c r="Q391" s="7">
        <f>INT((crimenes_cordoba_ampliado[[#This Row],[Fecha]]-crimenes_cordoba_ampliado[[#This Row],[Fecha Nac. Víctima]])/365)</f>
        <v>33</v>
      </c>
      <c r="R391" s="7" t="str">
        <f>_xlfn.XLOOKUP(crimenes_cordoba_ampliado[[#This Row],[EDAD VICTIMA]],'Rango etareo'!$A$2:$A$25,'Rango etareo'!$B$2:$B$25,,-1)</f>
        <v>26 - 35</v>
      </c>
      <c r="S391" s="3" t="s">
        <v>21</v>
      </c>
      <c r="T391" s="3" t="str">
        <f>IF(crimenes_cordoba_ampliado[[#This Row],[Género Víctima]]="Masculino","🚹","🚺")</f>
        <v>🚺</v>
      </c>
      <c r="U391">
        <v>3</v>
      </c>
      <c r="V391" s="3" t="s">
        <v>25</v>
      </c>
      <c r="W391" s="3" t="s">
        <v>24</v>
      </c>
      <c r="X391" s="3" t="s">
        <v>24</v>
      </c>
      <c r="Y391" s="3" t="s">
        <v>46</v>
      </c>
      <c r="Z391" s="3" t="s">
        <v>23</v>
      </c>
      <c r="AA391" s="3" t="s">
        <v>25</v>
      </c>
      <c r="AB391" s="3" t="str">
        <f>IF(crimenes_cordoba_ampliado[[#This Row],[Hubo Arresto]]="Sí", "Resuelto", "Pendiente")</f>
        <v>Pendiente</v>
      </c>
      <c r="AC391" s="3" t="s">
        <v>24</v>
      </c>
      <c r="AD391" s="3"/>
    </row>
    <row r="392" spans="1:30" x14ac:dyDescent="0.25">
      <c r="A392">
        <v>377</v>
      </c>
      <c r="B392" s="1">
        <v>45594</v>
      </c>
      <c r="C392" s="33">
        <f t="shared" si="12"/>
        <v>45594</v>
      </c>
      <c r="D392" s="34">
        <f t="shared" si="13"/>
        <v>45594</v>
      </c>
      <c r="E392" s="35" t="s">
        <v>1453</v>
      </c>
      <c r="F392" s="2">
        <v>0.83888888888888891</v>
      </c>
      <c r="G392" s="3" t="s">
        <v>79</v>
      </c>
      <c r="H392" s="3" t="s">
        <v>49</v>
      </c>
      <c r="I392" s="25" t="str">
        <f>VLOOKUP(H392,Tabla5[#All],4,FALSE)</f>
        <v>-31,4506257494184, -64,1733054344705</v>
      </c>
      <c r="J392" s="1">
        <v>36227</v>
      </c>
      <c r="K392" s="7">
        <f>INT((crimenes_cordoba_ampliado[[#This Row],[Fecha]]-crimenes_cordoba_ampliado[[#This Row],[Fecha Nac. Delincuente]])/365)</f>
        <v>25</v>
      </c>
      <c r="L392" s="7" t="str">
        <f>_xlfn.XLOOKUP(crimenes_cordoba_ampliado[[#This Row],[EDAD DELINCUENTE]],'Rango etareo'!$A$10:$A$25,'Rango etareo'!$B$10:$B$25,,-1)</f>
        <v>18 - 25</v>
      </c>
      <c r="M392" s="3" t="s">
        <v>21</v>
      </c>
      <c r="N392" s="3" t="str">
        <f>IF(crimenes_cordoba_ampliado[[#This Row],[Género Delincuente]]="Femenino","🚺","🚹")</f>
        <v>🚺</v>
      </c>
      <c r="O392">
        <v>2</v>
      </c>
      <c r="P392" s="1">
        <v>39530</v>
      </c>
      <c r="Q392" s="7">
        <f>INT((crimenes_cordoba_ampliado[[#This Row],[Fecha]]-crimenes_cordoba_ampliado[[#This Row],[Fecha Nac. Víctima]])/365)</f>
        <v>16</v>
      </c>
      <c r="R392" s="7" t="str">
        <f>_xlfn.XLOOKUP(crimenes_cordoba_ampliado[[#This Row],[EDAD VICTIMA]],'Rango etareo'!$A$2:$A$25,'Rango etareo'!$B$2:$B$25,,-1)</f>
        <v>&lt;=17</v>
      </c>
      <c r="S392" s="3" t="s">
        <v>22</v>
      </c>
      <c r="T392" s="3" t="str">
        <f>IF(crimenes_cordoba_ampliado[[#This Row],[Género Víctima]]="Masculino","🚹","🚺")</f>
        <v>🚹</v>
      </c>
      <c r="U392">
        <v>2</v>
      </c>
      <c r="V392" s="3" t="s">
        <v>23</v>
      </c>
      <c r="W392" s="3" t="s">
        <v>36</v>
      </c>
      <c r="X392" s="3" t="s">
        <v>24</v>
      </c>
      <c r="Y392" s="3" t="s">
        <v>99</v>
      </c>
      <c r="Z392" s="3" t="s">
        <v>25</v>
      </c>
      <c r="AA392" s="3" t="s">
        <v>25</v>
      </c>
      <c r="AB392" s="3" t="str">
        <f>IF(crimenes_cordoba_ampliado[[#This Row],[Hubo Arresto]]="Sí", "Resuelto", "Pendiente")</f>
        <v>Resuelto</v>
      </c>
      <c r="AC392" s="3" t="s">
        <v>229</v>
      </c>
      <c r="AD392" s="3"/>
    </row>
    <row r="393" spans="1:30" x14ac:dyDescent="0.25">
      <c r="A393">
        <v>379</v>
      </c>
      <c r="B393" s="1">
        <v>44448</v>
      </c>
      <c r="C393" s="33">
        <f t="shared" si="12"/>
        <v>44448</v>
      </c>
      <c r="D393" s="34">
        <f t="shared" si="13"/>
        <v>44448</v>
      </c>
      <c r="E393" s="35" t="s">
        <v>1454</v>
      </c>
      <c r="F393" s="2">
        <v>0.48055555555555557</v>
      </c>
      <c r="G393" s="3" t="s">
        <v>35</v>
      </c>
      <c r="H393" s="3" t="s">
        <v>62</v>
      </c>
      <c r="I393" s="25" t="str">
        <f>VLOOKUP(H393,Tabla5[#All],4,FALSE)</f>
        <v>-31,3909520937826, -64,1836424491715</v>
      </c>
      <c r="J393" s="1">
        <v>24177</v>
      </c>
      <c r="K393" s="7">
        <f>INT((crimenes_cordoba_ampliado[[#This Row],[Fecha]]-crimenes_cordoba_ampliado[[#This Row],[Fecha Nac. Delincuente]])/365)</f>
        <v>55</v>
      </c>
      <c r="L393" s="7" t="str">
        <f>_xlfn.XLOOKUP(crimenes_cordoba_ampliado[[#This Row],[EDAD DELINCUENTE]],'Rango etareo'!$A$10:$A$25,'Rango etareo'!$B$10:$B$25,,-1)</f>
        <v>46 - 55</v>
      </c>
      <c r="M393" s="3" t="s">
        <v>21</v>
      </c>
      <c r="N393" s="3" t="str">
        <f>IF(crimenes_cordoba_ampliado[[#This Row],[Género Delincuente]]="Femenino","🚺","🚹")</f>
        <v>🚺</v>
      </c>
      <c r="O393">
        <v>2</v>
      </c>
      <c r="P393" s="1">
        <v>28000</v>
      </c>
      <c r="Q393" s="7">
        <f>INT((crimenes_cordoba_ampliado[[#This Row],[Fecha]]-crimenes_cordoba_ampliado[[#This Row],[Fecha Nac. Víctima]])/365)</f>
        <v>45</v>
      </c>
      <c r="R393" s="7" t="str">
        <f>_xlfn.XLOOKUP(crimenes_cordoba_ampliado[[#This Row],[EDAD VICTIMA]],'Rango etareo'!$A$2:$A$25,'Rango etareo'!$B$2:$B$25,,-1)</f>
        <v>36 - 45</v>
      </c>
      <c r="S393" s="3" t="s">
        <v>22</v>
      </c>
      <c r="T393" s="3" t="str">
        <f>IF(crimenes_cordoba_ampliado[[#This Row],[Género Víctima]]="Masculino","🚹","🚺")</f>
        <v>🚹</v>
      </c>
      <c r="U393">
        <v>2</v>
      </c>
      <c r="V393" s="3" t="s">
        <v>23</v>
      </c>
      <c r="W393" s="3" t="s">
        <v>24</v>
      </c>
      <c r="X393" s="3" t="s">
        <v>29</v>
      </c>
      <c r="Y393" s="3" t="s">
        <v>24</v>
      </c>
      <c r="Z393" s="3" t="s">
        <v>25</v>
      </c>
      <c r="AA393" s="3" t="s">
        <v>25</v>
      </c>
      <c r="AB393" s="3" t="str">
        <f>IF(crimenes_cordoba_ampliado[[#This Row],[Hubo Arresto]]="Sí", "Resuelto", "Pendiente")</f>
        <v>Resuelto</v>
      </c>
      <c r="AC393" s="3" t="s">
        <v>87</v>
      </c>
      <c r="AD393" s="3"/>
    </row>
    <row r="394" spans="1:30" x14ac:dyDescent="0.25">
      <c r="A394">
        <v>382</v>
      </c>
      <c r="B394" s="1">
        <v>43549</v>
      </c>
      <c r="C394" s="33">
        <f t="shared" si="12"/>
        <v>43549</v>
      </c>
      <c r="D394" s="34">
        <f t="shared" si="13"/>
        <v>43549</v>
      </c>
      <c r="E394" s="35" t="s">
        <v>1452</v>
      </c>
      <c r="F394" s="2">
        <v>0.21111111111111111</v>
      </c>
      <c r="G394" s="3" t="s">
        <v>42</v>
      </c>
      <c r="H394" s="3" t="s">
        <v>28</v>
      </c>
      <c r="I394" s="25" t="str">
        <f>VLOOKUP(H394,Tabla5[#All],4,FALSE)</f>
        <v>-31,4129883640337, -64,1681120522587</v>
      </c>
      <c r="J394" s="1">
        <v>31401</v>
      </c>
      <c r="K394" s="7">
        <f>INT((crimenes_cordoba_ampliado[[#This Row],[Fecha]]-crimenes_cordoba_ampliado[[#This Row],[Fecha Nac. Delincuente]])/365)</f>
        <v>33</v>
      </c>
      <c r="L394" s="7" t="str">
        <f>_xlfn.XLOOKUP(crimenes_cordoba_ampliado[[#This Row],[EDAD DELINCUENTE]],'Rango etareo'!$A$10:$A$25,'Rango etareo'!$B$10:$B$25,,-1)</f>
        <v>26 - 35</v>
      </c>
      <c r="M394" s="3" t="s">
        <v>21</v>
      </c>
      <c r="N394" s="3" t="str">
        <f>IF(crimenes_cordoba_ampliado[[#This Row],[Género Delincuente]]="Femenino","🚺","🚹")</f>
        <v>🚺</v>
      </c>
      <c r="O394">
        <v>4</v>
      </c>
      <c r="P394" s="1">
        <v>20460</v>
      </c>
      <c r="Q394" s="7">
        <f>INT((crimenes_cordoba_ampliado[[#This Row],[Fecha]]-crimenes_cordoba_ampliado[[#This Row],[Fecha Nac. Víctima]])/365)</f>
        <v>63</v>
      </c>
      <c r="R394" s="7" t="str">
        <f>_xlfn.XLOOKUP(crimenes_cordoba_ampliado[[#This Row],[EDAD VICTIMA]],'Rango etareo'!$A$2:$A$25,'Rango etareo'!$B$2:$B$25,,-1)</f>
        <v>56 - 65</v>
      </c>
      <c r="S394" s="3" t="s">
        <v>22</v>
      </c>
      <c r="T394" s="3" t="str">
        <f>IF(crimenes_cordoba_ampliado[[#This Row],[Género Víctima]]="Masculino","🚹","🚺")</f>
        <v>🚹</v>
      </c>
      <c r="U394">
        <v>1</v>
      </c>
      <c r="V394" s="3" t="s">
        <v>23</v>
      </c>
      <c r="W394" s="3" t="s">
        <v>24</v>
      </c>
      <c r="X394" s="3" t="s">
        <v>24</v>
      </c>
      <c r="Y394" s="3" t="s">
        <v>86</v>
      </c>
      <c r="Z394" s="3" t="s">
        <v>23</v>
      </c>
      <c r="AA394" s="3" t="s">
        <v>23</v>
      </c>
      <c r="AB394" s="3" t="str">
        <f>IF(crimenes_cordoba_ampliado[[#This Row],[Hubo Arresto]]="Sí", "Resuelto", "Pendiente")</f>
        <v>Resuelto</v>
      </c>
      <c r="AC394" s="3" t="s">
        <v>230</v>
      </c>
      <c r="AD394" s="3"/>
    </row>
    <row r="395" spans="1:30" x14ac:dyDescent="0.25">
      <c r="A395">
        <v>502</v>
      </c>
      <c r="B395" s="1">
        <v>43585</v>
      </c>
      <c r="C395" s="33">
        <f t="shared" si="12"/>
        <v>43585</v>
      </c>
      <c r="D395" s="34">
        <f t="shared" si="13"/>
        <v>43585</v>
      </c>
      <c r="E395" s="35" t="s">
        <v>1453</v>
      </c>
      <c r="F395" s="2">
        <v>0.17777777777777778</v>
      </c>
      <c r="G395" s="3" t="s">
        <v>48</v>
      </c>
      <c r="H395" s="3" t="s">
        <v>58</v>
      </c>
      <c r="I395" s="25" t="str">
        <f>VLOOKUP(H395,Tabla5[#All],4,FALSE)</f>
        <v>-31,423018915313, -64,1493562190664</v>
      </c>
      <c r="J395" s="1">
        <v>38858</v>
      </c>
      <c r="K395" s="7">
        <f>INT((crimenes_cordoba_ampliado[[#This Row],[Fecha]]-crimenes_cordoba_ampliado[[#This Row],[Fecha Nac. Delincuente]])/365)</f>
        <v>12</v>
      </c>
      <c r="L395" s="7" t="str">
        <f>_xlfn.XLOOKUP(crimenes_cordoba_ampliado[[#This Row],[EDAD DELINCUENTE]],'Rango etareo'!$A$10:$A$25,'Rango etareo'!$B$10:$B$25,,-1)</f>
        <v>&lt;=17</v>
      </c>
      <c r="M395" s="3" t="s">
        <v>22</v>
      </c>
      <c r="N395" s="3" t="str">
        <f>IF(crimenes_cordoba_ampliado[[#This Row],[Género Delincuente]]="Femenino","🚺","🚹")</f>
        <v>🚹</v>
      </c>
      <c r="O395">
        <v>2</v>
      </c>
      <c r="P395" s="1">
        <v>14936</v>
      </c>
      <c r="Q395" s="7">
        <f>INT((crimenes_cordoba_ampliado[[#This Row],[Fecha]]-crimenes_cordoba_ampliado[[#This Row],[Fecha Nac. Víctima]])/365)</f>
        <v>78</v>
      </c>
      <c r="R395" s="7" t="str">
        <f>_xlfn.XLOOKUP(crimenes_cordoba_ampliado[[#This Row],[EDAD VICTIMA]],'Rango etareo'!$A$2:$A$25,'Rango etareo'!$B$2:$B$25,,-1)</f>
        <v>&gt;65</v>
      </c>
      <c r="S395" s="3" t="s">
        <v>21</v>
      </c>
      <c r="T395" s="3" t="str">
        <f>IF(crimenes_cordoba_ampliado[[#This Row],[Género Víctima]]="Masculino","🚹","🚺")</f>
        <v>🚺</v>
      </c>
      <c r="U395">
        <v>1</v>
      </c>
      <c r="V395" s="3" t="s">
        <v>25</v>
      </c>
      <c r="W395" s="3" t="s">
        <v>24</v>
      </c>
      <c r="X395" s="3" t="s">
        <v>24</v>
      </c>
      <c r="Y395" s="3" t="s">
        <v>86</v>
      </c>
      <c r="Z395" s="3" t="s">
        <v>23</v>
      </c>
      <c r="AA395" s="3" t="s">
        <v>23</v>
      </c>
      <c r="AB395" s="3" t="str">
        <f>IF(crimenes_cordoba_ampliado[[#This Row],[Hubo Arresto]]="Sí", "Resuelto", "Pendiente")</f>
        <v>Pendiente</v>
      </c>
      <c r="AC395" s="3" t="s">
        <v>24</v>
      </c>
      <c r="AD395" s="3"/>
    </row>
    <row r="396" spans="1:30" x14ac:dyDescent="0.25">
      <c r="A396">
        <v>387</v>
      </c>
      <c r="B396" s="1">
        <v>42160</v>
      </c>
      <c r="C396" s="33">
        <f t="shared" si="12"/>
        <v>42160</v>
      </c>
      <c r="D396" s="34">
        <f t="shared" si="13"/>
        <v>42160</v>
      </c>
      <c r="E396" s="35" t="s">
        <v>1455</v>
      </c>
      <c r="F396" s="2">
        <v>0.11597222222222223</v>
      </c>
      <c r="G396" s="3" t="s">
        <v>48</v>
      </c>
      <c r="H396" s="3" t="s">
        <v>55</v>
      </c>
      <c r="I396" s="25" t="str">
        <f>VLOOKUP(H396,Tabla5[#All],4,FALSE)</f>
        <v>-31,4015892433235, -64,160442876477</v>
      </c>
      <c r="J396" s="1">
        <v>31361</v>
      </c>
      <c r="K396" s="7">
        <f>INT((crimenes_cordoba_ampliado[[#This Row],[Fecha]]-crimenes_cordoba_ampliado[[#This Row],[Fecha Nac. Delincuente]])/365)</f>
        <v>29</v>
      </c>
      <c r="L396" s="7" t="str">
        <f>_xlfn.XLOOKUP(crimenes_cordoba_ampliado[[#This Row],[EDAD DELINCUENTE]],'Rango etareo'!$A$10:$A$25,'Rango etareo'!$B$10:$B$25,,-1)</f>
        <v>26 - 35</v>
      </c>
      <c r="M396" s="3" t="s">
        <v>22</v>
      </c>
      <c r="N396" s="3" t="str">
        <f>IF(crimenes_cordoba_ampliado[[#This Row],[Género Delincuente]]="Femenino","🚺","🚹")</f>
        <v>🚹</v>
      </c>
      <c r="O396">
        <v>1</v>
      </c>
      <c r="P396" s="1">
        <v>40808</v>
      </c>
      <c r="Q396" s="7">
        <f>INT((crimenes_cordoba_ampliado[[#This Row],[Fecha]]-crimenes_cordoba_ampliado[[#This Row],[Fecha Nac. Víctima]])/365)</f>
        <v>3</v>
      </c>
      <c r="R396" s="7" t="str">
        <f>_xlfn.XLOOKUP(crimenes_cordoba_ampliado[[#This Row],[EDAD VICTIMA]],'Rango etareo'!$A$2:$A$25,'Rango etareo'!$B$2:$B$25,,-1)</f>
        <v>&lt;=17</v>
      </c>
      <c r="S396" s="3" t="s">
        <v>21</v>
      </c>
      <c r="T396" s="3" t="str">
        <f>IF(crimenes_cordoba_ampliado[[#This Row],[Género Víctima]]="Masculino","🚹","🚺")</f>
        <v>🚺</v>
      </c>
      <c r="U396">
        <v>2</v>
      </c>
      <c r="V396" s="3" t="s">
        <v>23</v>
      </c>
      <c r="W396" s="3" t="s">
        <v>24</v>
      </c>
      <c r="X396" s="3" t="s">
        <v>24</v>
      </c>
      <c r="Y396" s="3" t="s">
        <v>24</v>
      </c>
      <c r="Z396" s="3" t="s">
        <v>25</v>
      </c>
      <c r="AA396" s="3" t="s">
        <v>25</v>
      </c>
      <c r="AB396" s="3" t="str">
        <f>IF(crimenes_cordoba_ampliado[[#This Row],[Hubo Arresto]]="Sí", "Resuelto", "Pendiente")</f>
        <v>Resuelto</v>
      </c>
      <c r="AC396" s="3" t="s">
        <v>231</v>
      </c>
      <c r="AD396" s="3"/>
    </row>
    <row r="397" spans="1:30" x14ac:dyDescent="0.25">
      <c r="A397">
        <v>109</v>
      </c>
      <c r="B397" s="1">
        <v>43586</v>
      </c>
      <c r="C397" s="33">
        <f t="shared" si="12"/>
        <v>43586</v>
      </c>
      <c r="D397" s="34">
        <f t="shared" si="13"/>
        <v>43586</v>
      </c>
      <c r="E397" s="35" t="s">
        <v>1450</v>
      </c>
      <c r="F397" s="2">
        <v>0.60416666666666663</v>
      </c>
      <c r="G397" s="3" t="s">
        <v>54</v>
      </c>
      <c r="H397" s="3" t="s">
        <v>40</v>
      </c>
      <c r="I397" s="25" t="str">
        <f>VLOOKUP(H397,Tabla5[#All],4,FALSE)</f>
        <v>-31,334500143441, -64,2460773260564</v>
      </c>
      <c r="J397" s="1">
        <v>33839</v>
      </c>
      <c r="K397" s="7">
        <f>INT((crimenes_cordoba_ampliado[[#This Row],[Fecha]]-crimenes_cordoba_ampliado[[#This Row],[Fecha Nac. Delincuente]])/365)</f>
        <v>26</v>
      </c>
      <c r="L397" s="7" t="str">
        <f>_xlfn.XLOOKUP(crimenes_cordoba_ampliado[[#This Row],[EDAD DELINCUENTE]],'Rango etareo'!$A$10:$A$25,'Rango etareo'!$B$10:$B$25,,-1)</f>
        <v>26 - 35</v>
      </c>
      <c r="M397" s="3" t="s">
        <v>22</v>
      </c>
      <c r="N397" s="3" t="str">
        <f>IF(crimenes_cordoba_ampliado[[#This Row],[Género Delincuente]]="Femenino","🚺","🚹")</f>
        <v>🚹</v>
      </c>
      <c r="O397">
        <v>4</v>
      </c>
      <c r="P397" s="1">
        <v>18670</v>
      </c>
      <c r="Q397" s="7">
        <f>INT((crimenes_cordoba_ampliado[[#This Row],[Fecha]]-crimenes_cordoba_ampliado[[#This Row],[Fecha Nac. Víctima]])/365)</f>
        <v>68</v>
      </c>
      <c r="R397" s="7" t="str">
        <f>_xlfn.XLOOKUP(crimenes_cordoba_ampliado[[#This Row],[EDAD VICTIMA]],'Rango etareo'!$A$2:$A$25,'Rango etareo'!$B$2:$B$25,,-1)</f>
        <v>&gt;65</v>
      </c>
      <c r="S397" s="3" t="s">
        <v>21</v>
      </c>
      <c r="T397" s="3" t="str">
        <f>IF(crimenes_cordoba_ampliado[[#This Row],[Género Víctima]]="Masculino","🚹","🚺")</f>
        <v>🚺</v>
      </c>
      <c r="U397">
        <v>1</v>
      </c>
      <c r="V397" s="3" t="s">
        <v>25</v>
      </c>
      <c r="W397" s="3" t="s">
        <v>24</v>
      </c>
      <c r="X397" s="3" t="s">
        <v>24</v>
      </c>
      <c r="Y397" s="3" t="s">
        <v>53</v>
      </c>
      <c r="Z397" s="3" t="s">
        <v>25</v>
      </c>
      <c r="AA397" s="3" t="s">
        <v>25</v>
      </c>
      <c r="AB397" s="3" t="str">
        <f>IF(crimenes_cordoba_ampliado[[#This Row],[Hubo Arresto]]="Sí", "Resuelto", "Pendiente")</f>
        <v>Pendiente</v>
      </c>
      <c r="AC397" s="3" t="s">
        <v>24</v>
      </c>
      <c r="AD397" s="3"/>
    </row>
    <row r="398" spans="1:30" x14ac:dyDescent="0.25">
      <c r="A398">
        <v>659</v>
      </c>
      <c r="B398" s="1">
        <v>43587</v>
      </c>
      <c r="C398" s="33">
        <f t="shared" si="12"/>
        <v>43587</v>
      </c>
      <c r="D398" s="34">
        <f t="shared" si="13"/>
        <v>43587</v>
      </c>
      <c r="E398" s="35" t="s">
        <v>1454</v>
      </c>
      <c r="F398" s="2">
        <v>0.18055555555555555</v>
      </c>
      <c r="G398" s="3" t="s">
        <v>19</v>
      </c>
      <c r="H398" s="3" t="s">
        <v>40</v>
      </c>
      <c r="I398" s="25" t="str">
        <f>VLOOKUP(H398,Tabla5[#All],4,FALSE)</f>
        <v>-31,334500143441, -64,2460773260564</v>
      </c>
      <c r="J398" s="1">
        <v>22308</v>
      </c>
      <c r="K398" s="7">
        <f>INT((crimenes_cordoba_ampliado[[#This Row],[Fecha]]-crimenes_cordoba_ampliado[[#This Row],[Fecha Nac. Delincuente]])/365)</f>
        <v>58</v>
      </c>
      <c r="L398" s="7" t="str">
        <f>_xlfn.XLOOKUP(crimenes_cordoba_ampliado[[#This Row],[EDAD DELINCUENTE]],'Rango etareo'!$A$10:$A$25,'Rango etareo'!$B$10:$B$25,,-1)</f>
        <v>56 - 65</v>
      </c>
      <c r="M398" s="3" t="s">
        <v>21</v>
      </c>
      <c r="N398" s="3" t="str">
        <f>IF(crimenes_cordoba_ampliado[[#This Row],[Género Delincuente]]="Femenino","🚺","🚹")</f>
        <v>🚺</v>
      </c>
      <c r="O398">
        <v>2</v>
      </c>
      <c r="P398" s="1">
        <v>18951</v>
      </c>
      <c r="Q398" s="7">
        <f>INT((crimenes_cordoba_ampliado[[#This Row],[Fecha]]-crimenes_cordoba_ampliado[[#This Row],[Fecha Nac. Víctima]])/365)</f>
        <v>67</v>
      </c>
      <c r="R398" s="7" t="str">
        <f>_xlfn.XLOOKUP(crimenes_cordoba_ampliado[[#This Row],[EDAD VICTIMA]],'Rango etareo'!$A$2:$A$25,'Rango etareo'!$B$2:$B$25,,-1)</f>
        <v>&gt;65</v>
      </c>
      <c r="S398" s="3" t="s">
        <v>21</v>
      </c>
      <c r="T398" s="3" t="str">
        <f>IF(crimenes_cordoba_ampliado[[#This Row],[Género Víctima]]="Masculino","🚹","🚺")</f>
        <v>🚺</v>
      </c>
      <c r="U398">
        <v>2</v>
      </c>
      <c r="V398" s="3" t="s">
        <v>25</v>
      </c>
      <c r="W398" s="3" t="s">
        <v>24</v>
      </c>
      <c r="X398" s="3" t="s">
        <v>24</v>
      </c>
      <c r="Y398" s="3" t="s">
        <v>24</v>
      </c>
      <c r="Z398" s="3" t="s">
        <v>25</v>
      </c>
      <c r="AA398" s="3" t="s">
        <v>23</v>
      </c>
      <c r="AB398" s="3" t="str">
        <f>IF(crimenes_cordoba_ampliado[[#This Row],[Hubo Arresto]]="Sí", "Resuelto", "Pendiente")</f>
        <v>Pendiente</v>
      </c>
      <c r="AC398" s="3" t="s">
        <v>24</v>
      </c>
      <c r="AD398" s="3"/>
    </row>
    <row r="399" spans="1:30" x14ac:dyDescent="0.25">
      <c r="A399">
        <v>374</v>
      </c>
      <c r="B399" s="1">
        <v>43588</v>
      </c>
      <c r="C399" s="33">
        <f t="shared" si="12"/>
        <v>43588</v>
      </c>
      <c r="D399" s="34">
        <f t="shared" si="13"/>
        <v>43588</v>
      </c>
      <c r="E399" s="35" t="s">
        <v>1455</v>
      </c>
      <c r="F399" s="2">
        <v>0.65277777777777779</v>
      </c>
      <c r="G399" s="3" t="s">
        <v>45</v>
      </c>
      <c r="H399" s="3" t="s">
        <v>32</v>
      </c>
      <c r="I399" s="25" t="str">
        <f>VLOOKUP(H399,Tabla5[#All],4,FALSE)</f>
        <v>-31,4148488101991, -64,1793406489438</v>
      </c>
      <c r="J399" s="1">
        <v>23348</v>
      </c>
      <c r="K399" s="7">
        <f>INT((crimenes_cordoba_ampliado[[#This Row],[Fecha]]-crimenes_cordoba_ampliado[[#This Row],[Fecha Nac. Delincuente]])/365)</f>
        <v>55</v>
      </c>
      <c r="L399" s="7" t="str">
        <f>_xlfn.XLOOKUP(crimenes_cordoba_ampliado[[#This Row],[EDAD DELINCUENTE]],'Rango etareo'!$A$10:$A$25,'Rango etareo'!$B$10:$B$25,,-1)</f>
        <v>46 - 55</v>
      </c>
      <c r="M399" s="3" t="s">
        <v>21</v>
      </c>
      <c r="N399" s="3" t="str">
        <f>IF(crimenes_cordoba_ampliado[[#This Row],[Género Delincuente]]="Femenino","🚺","🚹")</f>
        <v>🚺</v>
      </c>
      <c r="O399">
        <v>2</v>
      </c>
      <c r="P399" s="1">
        <v>18404</v>
      </c>
      <c r="Q399" s="7">
        <f>INT((crimenes_cordoba_ampliado[[#This Row],[Fecha]]-crimenes_cordoba_ampliado[[#This Row],[Fecha Nac. Víctima]])/365)</f>
        <v>68</v>
      </c>
      <c r="R399" s="7" t="str">
        <f>_xlfn.XLOOKUP(crimenes_cordoba_ampliado[[#This Row],[EDAD VICTIMA]],'Rango etareo'!$A$2:$A$25,'Rango etareo'!$B$2:$B$25,,-1)</f>
        <v>&gt;65</v>
      </c>
      <c r="S399" s="3" t="s">
        <v>21</v>
      </c>
      <c r="T399" s="3" t="str">
        <f>IF(crimenes_cordoba_ampliado[[#This Row],[Género Víctima]]="Masculino","🚹","🚺")</f>
        <v>🚺</v>
      </c>
      <c r="U399">
        <v>1</v>
      </c>
      <c r="V399" s="3" t="s">
        <v>25</v>
      </c>
      <c r="W399" s="3" t="s">
        <v>24</v>
      </c>
      <c r="X399" s="3" t="s">
        <v>24</v>
      </c>
      <c r="Y399" s="3" t="s">
        <v>24</v>
      </c>
      <c r="Z399" s="3" t="s">
        <v>25</v>
      </c>
      <c r="AA399" s="3" t="s">
        <v>23</v>
      </c>
      <c r="AB399" s="3" t="str">
        <f>IF(crimenes_cordoba_ampliado[[#This Row],[Hubo Arresto]]="Sí", "Resuelto", "Pendiente")</f>
        <v>Pendiente</v>
      </c>
      <c r="AC399" s="3" t="s">
        <v>24</v>
      </c>
      <c r="AD399" s="3"/>
    </row>
    <row r="400" spans="1:30" x14ac:dyDescent="0.25">
      <c r="A400">
        <v>882</v>
      </c>
      <c r="B400" s="1">
        <v>43588</v>
      </c>
      <c r="C400" s="33">
        <f t="shared" si="12"/>
        <v>43588</v>
      </c>
      <c r="D400" s="34">
        <f t="shared" si="13"/>
        <v>43588</v>
      </c>
      <c r="E400" s="35" t="s">
        <v>1455</v>
      </c>
      <c r="F400" s="2">
        <v>0.15694444444444444</v>
      </c>
      <c r="G400" s="3" t="s">
        <v>54</v>
      </c>
      <c r="H400" s="3" t="s">
        <v>32</v>
      </c>
      <c r="I400" s="25" t="str">
        <f>VLOOKUP(H400,Tabla5[#All],4,FALSE)</f>
        <v>-31,4148488101991, -64,1793406489438</v>
      </c>
      <c r="J400" s="1">
        <v>37155</v>
      </c>
      <c r="K400" s="7">
        <f>INT((crimenes_cordoba_ampliado[[#This Row],[Fecha]]-crimenes_cordoba_ampliado[[#This Row],[Fecha Nac. Delincuente]])/365)</f>
        <v>17</v>
      </c>
      <c r="L400" s="7" t="str">
        <f>_xlfn.XLOOKUP(crimenes_cordoba_ampliado[[#This Row],[EDAD DELINCUENTE]],'Rango etareo'!$A$10:$A$25,'Rango etareo'!$B$10:$B$25,,-1)</f>
        <v>&lt;=17</v>
      </c>
      <c r="M400" s="3" t="s">
        <v>21</v>
      </c>
      <c r="N400" s="3" t="str">
        <f>IF(crimenes_cordoba_ampliado[[#This Row],[Género Delincuente]]="Femenino","🚺","🚹")</f>
        <v>🚺</v>
      </c>
      <c r="O400">
        <v>1</v>
      </c>
      <c r="P400" s="1">
        <v>25356</v>
      </c>
      <c r="Q400" s="7">
        <f>INT((crimenes_cordoba_ampliado[[#This Row],[Fecha]]-crimenes_cordoba_ampliado[[#This Row],[Fecha Nac. Víctima]])/365)</f>
        <v>49</v>
      </c>
      <c r="R400" s="7" t="str">
        <f>_xlfn.XLOOKUP(crimenes_cordoba_ampliado[[#This Row],[EDAD VICTIMA]],'Rango etareo'!$A$2:$A$25,'Rango etareo'!$B$2:$B$25,,-1)</f>
        <v>46 - 55</v>
      </c>
      <c r="S400" s="3" t="s">
        <v>22</v>
      </c>
      <c r="T400" s="3" t="str">
        <f>IF(crimenes_cordoba_ampliado[[#This Row],[Género Víctima]]="Masculino","🚹","🚺")</f>
        <v>🚹</v>
      </c>
      <c r="U400">
        <v>1</v>
      </c>
      <c r="V400" s="3" t="s">
        <v>25</v>
      </c>
      <c r="W400" s="3" t="s">
        <v>24</v>
      </c>
      <c r="X400" s="3" t="s">
        <v>24</v>
      </c>
      <c r="Y400" s="3" t="s">
        <v>24</v>
      </c>
      <c r="Z400" s="3" t="s">
        <v>25</v>
      </c>
      <c r="AA400" s="3" t="s">
        <v>23</v>
      </c>
      <c r="AB400" s="3" t="str">
        <f>IF(crimenes_cordoba_ampliado[[#This Row],[Hubo Arresto]]="Sí", "Resuelto", "Pendiente")</f>
        <v>Pendiente</v>
      </c>
      <c r="AC400" s="3" t="s">
        <v>24</v>
      </c>
      <c r="AD400" s="3"/>
    </row>
    <row r="401" spans="1:30" x14ac:dyDescent="0.25">
      <c r="A401">
        <v>186</v>
      </c>
      <c r="B401" s="1">
        <v>43589</v>
      </c>
      <c r="C401" s="33">
        <f t="shared" si="12"/>
        <v>43589</v>
      </c>
      <c r="D401" s="34">
        <f t="shared" si="13"/>
        <v>43589</v>
      </c>
      <c r="E401" s="35" t="s">
        <v>1451</v>
      </c>
      <c r="F401" s="2">
        <v>0.91666666666666663</v>
      </c>
      <c r="G401" s="3" t="s">
        <v>38</v>
      </c>
      <c r="H401" s="3" t="s">
        <v>40</v>
      </c>
      <c r="I401" s="25" t="str">
        <f>VLOOKUP(H401,Tabla5[#All],4,FALSE)</f>
        <v>-31,334500143441, -64,2460773260564</v>
      </c>
      <c r="J401" s="1">
        <v>27631</v>
      </c>
      <c r="K401" s="7">
        <f>INT((crimenes_cordoba_ampliado[[#This Row],[Fecha]]-crimenes_cordoba_ampliado[[#This Row],[Fecha Nac. Delincuente]])/365)</f>
        <v>43</v>
      </c>
      <c r="L401" s="7" t="str">
        <f>_xlfn.XLOOKUP(crimenes_cordoba_ampliado[[#This Row],[EDAD DELINCUENTE]],'Rango etareo'!$A$10:$A$25,'Rango etareo'!$B$10:$B$25,,-1)</f>
        <v>36 - 45</v>
      </c>
      <c r="M401" s="3" t="s">
        <v>21</v>
      </c>
      <c r="N401" s="3" t="str">
        <f>IF(crimenes_cordoba_ampliado[[#This Row],[Género Delincuente]]="Femenino","🚺","🚹")</f>
        <v>🚺</v>
      </c>
      <c r="O401">
        <v>2</v>
      </c>
      <c r="P401" s="1">
        <v>35772</v>
      </c>
      <c r="Q401" s="7">
        <f>INT((crimenes_cordoba_ampliado[[#This Row],[Fecha]]-crimenes_cordoba_ampliado[[#This Row],[Fecha Nac. Víctima]])/365)</f>
        <v>21</v>
      </c>
      <c r="R401" s="7" t="str">
        <f>_xlfn.XLOOKUP(crimenes_cordoba_ampliado[[#This Row],[EDAD VICTIMA]],'Rango etareo'!$A$2:$A$25,'Rango etareo'!$B$2:$B$25,,-1)</f>
        <v>18 - 25</v>
      </c>
      <c r="S401" s="3" t="s">
        <v>22</v>
      </c>
      <c r="T401" s="3" t="str">
        <f>IF(crimenes_cordoba_ampliado[[#This Row],[Género Víctima]]="Masculino","🚹","🚺")</f>
        <v>🚹</v>
      </c>
      <c r="U401">
        <v>3</v>
      </c>
      <c r="V401" s="3" t="s">
        <v>25</v>
      </c>
      <c r="W401" s="3" t="s">
        <v>24</v>
      </c>
      <c r="X401" s="3" t="s">
        <v>29</v>
      </c>
      <c r="Y401" s="3" t="s">
        <v>24</v>
      </c>
      <c r="Z401" s="3" t="s">
        <v>25</v>
      </c>
      <c r="AA401" s="3" t="s">
        <v>25</v>
      </c>
      <c r="AB401" s="3" t="str">
        <f>IF(crimenes_cordoba_ampliado[[#This Row],[Hubo Arresto]]="Sí", "Resuelto", "Pendiente")</f>
        <v>Pendiente</v>
      </c>
      <c r="AC401" s="3" t="s">
        <v>24</v>
      </c>
      <c r="AD401" s="3"/>
    </row>
    <row r="402" spans="1:30" x14ac:dyDescent="0.25">
      <c r="A402">
        <v>118</v>
      </c>
      <c r="B402" s="1">
        <v>43593</v>
      </c>
      <c r="C402" s="33">
        <f t="shared" si="12"/>
        <v>43593</v>
      </c>
      <c r="D402" s="34">
        <f t="shared" si="13"/>
        <v>43593</v>
      </c>
      <c r="E402" s="35" t="s">
        <v>1450</v>
      </c>
      <c r="F402" s="2">
        <v>0.72569444444444442</v>
      </c>
      <c r="G402" s="3" t="s">
        <v>79</v>
      </c>
      <c r="H402" s="3" t="s">
        <v>62</v>
      </c>
      <c r="I402" s="25" t="str">
        <f>VLOOKUP(H402,Tabla5[#All],4,FALSE)</f>
        <v>-31,3909520937826, -64,1836424491715</v>
      </c>
      <c r="J402" s="1">
        <v>27096</v>
      </c>
      <c r="K402" s="7">
        <f>INT((crimenes_cordoba_ampliado[[#This Row],[Fecha]]-crimenes_cordoba_ampliado[[#This Row],[Fecha Nac. Delincuente]])/365)</f>
        <v>45</v>
      </c>
      <c r="L402" s="7" t="str">
        <f>_xlfn.XLOOKUP(crimenes_cordoba_ampliado[[#This Row],[EDAD DELINCUENTE]],'Rango etareo'!$A$10:$A$25,'Rango etareo'!$B$10:$B$25,,-1)</f>
        <v>36 - 45</v>
      </c>
      <c r="M402" s="3" t="s">
        <v>22</v>
      </c>
      <c r="N402" s="3" t="str">
        <f>IF(crimenes_cordoba_ampliado[[#This Row],[Género Delincuente]]="Femenino","🚺","🚹")</f>
        <v>🚹</v>
      </c>
      <c r="O402">
        <v>5</v>
      </c>
      <c r="P402" s="1">
        <v>24873</v>
      </c>
      <c r="Q402" s="7">
        <f>INT((crimenes_cordoba_ampliado[[#This Row],[Fecha]]-crimenes_cordoba_ampliado[[#This Row],[Fecha Nac. Víctima]])/365)</f>
        <v>51</v>
      </c>
      <c r="R402" s="7" t="str">
        <f>_xlfn.XLOOKUP(crimenes_cordoba_ampliado[[#This Row],[EDAD VICTIMA]],'Rango etareo'!$A$2:$A$25,'Rango etareo'!$B$2:$B$25,,-1)</f>
        <v>46 - 55</v>
      </c>
      <c r="S402" s="3" t="s">
        <v>21</v>
      </c>
      <c r="T402" s="3" t="str">
        <f>IF(crimenes_cordoba_ampliado[[#This Row],[Género Víctima]]="Masculino","🚹","🚺")</f>
        <v>🚺</v>
      </c>
      <c r="U402">
        <v>3</v>
      </c>
      <c r="V402" s="3" t="s">
        <v>25</v>
      </c>
      <c r="W402" s="3" t="s">
        <v>24</v>
      </c>
      <c r="X402" s="3" t="s">
        <v>24</v>
      </c>
      <c r="Y402" s="3" t="s">
        <v>69</v>
      </c>
      <c r="Z402" s="3" t="s">
        <v>23</v>
      </c>
      <c r="AA402" s="3" t="s">
        <v>25</v>
      </c>
      <c r="AB402" s="3" t="str">
        <f>IF(crimenes_cordoba_ampliado[[#This Row],[Hubo Arresto]]="Sí", "Resuelto", "Pendiente")</f>
        <v>Pendiente</v>
      </c>
      <c r="AC402" s="3" t="s">
        <v>24</v>
      </c>
      <c r="AD402" s="3"/>
    </row>
    <row r="403" spans="1:30" x14ac:dyDescent="0.25">
      <c r="A403">
        <v>454</v>
      </c>
      <c r="B403" s="1">
        <v>43595</v>
      </c>
      <c r="C403" s="33">
        <f t="shared" si="12"/>
        <v>43595</v>
      </c>
      <c r="D403" s="34">
        <f t="shared" si="13"/>
        <v>43595</v>
      </c>
      <c r="E403" s="35" t="s">
        <v>1455</v>
      </c>
      <c r="F403" s="2">
        <v>0.86388888888888893</v>
      </c>
      <c r="G403" s="3" t="s">
        <v>27</v>
      </c>
      <c r="H403" s="3" t="s">
        <v>62</v>
      </c>
      <c r="I403" s="25" t="str">
        <f>VLOOKUP(H403,Tabla5[#All],4,FALSE)</f>
        <v>-31,3909520937826, -64,1836424491715</v>
      </c>
      <c r="J403" s="1">
        <v>25634</v>
      </c>
      <c r="K403" s="7">
        <f>INT((crimenes_cordoba_ampliado[[#This Row],[Fecha]]-crimenes_cordoba_ampliado[[#This Row],[Fecha Nac. Delincuente]])/365)</f>
        <v>49</v>
      </c>
      <c r="L403" s="7" t="str">
        <f>_xlfn.XLOOKUP(crimenes_cordoba_ampliado[[#This Row],[EDAD DELINCUENTE]],'Rango etareo'!$A$10:$A$25,'Rango etareo'!$B$10:$B$25,,-1)</f>
        <v>46 - 55</v>
      </c>
      <c r="M403" s="3" t="s">
        <v>21</v>
      </c>
      <c r="N403" s="3" t="str">
        <f>IF(crimenes_cordoba_ampliado[[#This Row],[Género Delincuente]]="Femenino","🚺","🚹")</f>
        <v>🚺</v>
      </c>
      <c r="O403">
        <v>3</v>
      </c>
      <c r="P403" s="1">
        <v>35659</v>
      </c>
      <c r="Q403" s="7">
        <f>INT((crimenes_cordoba_ampliado[[#This Row],[Fecha]]-crimenes_cordoba_ampliado[[#This Row],[Fecha Nac. Víctima]])/365)</f>
        <v>21</v>
      </c>
      <c r="R403" s="7" t="str">
        <f>_xlfn.XLOOKUP(crimenes_cordoba_ampliado[[#This Row],[EDAD VICTIMA]],'Rango etareo'!$A$2:$A$25,'Rango etareo'!$B$2:$B$25,,-1)</f>
        <v>18 - 25</v>
      </c>
      <c r="S403" s="3" t="s">
        <v>22</v>
      </c>
      <c r="T403" s="3" t="str">
        <f>IF(crimenes_cordoba_ampliado[[#This Row],[Género Víctima]]="Masculino","🚹","🚺")</f>
        <v>🚹</v>
      </c>
      <c r="U403">
        <v>2</v>
      </c>
      <c r="V403" s="3" t="s">
        <v>25</v>
      </c>
      <c r="W403" s="3" t="s">
        <v>71</v>
      </c>
      <c r="X403" s="3" t="s">
        <v>24</v>
      </c>
      <c r="Y403" s="3" t="s">
        <v>64</v>
      </c>
      <c r="Z403" s="3" t="s">
        <v>23</v>
      </c>
      <c r="AA403" s="3" t="s">
        <v>25</v>
      </c>
      <c r="AB403" s="3" t="str">
        <f>IF(crimenes_cordoba_ampliado[[#This Row],[Hubo Arresto]]="Sí", "Resuelto", "Pendiente")</f>
        <v>Pendiente</v>
      </c>
      <c r="AC403" s="3" t="s">
        <v>24</v>
      </c>
      <c r="AD403" s="3"/>
    </row>
    <row r="404" spans="1:30" x14ac:dyDescent="0.25">
      <c r="A404">
        <v>390</v>
      </c>
      <c r="B404" s="1">
        <v>42495</v>
      </c>
      <c r="C404" s="33">
        <f t="shared" si="12"/>
        <v>42495</v>
      </c>
      <c r="D404" s="34">
        <f t="shared" si="13"/>
        <v>42495</v>
      </c>
      <c r="E404" s="35" t="s">
        <v>1454</v>
      </c>
      <c r="F404" s="2">
        <v>0.54305555555555551</v>
      </c>
      <c r="G404" s="3" t="s">
        <v>19</v>
      </c>
      <c r="H404" s="3" t="s">
        <v>49</v>
      </c>
      <c r="I404" s="25" t="str">
        <f>VLOOKUP(H404,Tabla5[#All],4,FALSE)</f>
        <v>-31,4506257494184, -64,1733054344705</v>
      </c>
      <c r="J404" s="1">
        <v>23732</v>
      </c>
      <c r="K404" s="7">
        <f>INT((crimenes_cordoba_ampliado[[#This Row],[Fecha]]-crimenes_cordoba_ampliado[[#This Row],[Fecha Nac. Delincuente]])/365)</f>
        <v>51</v>
      </c>
      <c r="L404" s="7" t="str">
        <f>_xlfn.XLOOKUP(crimenes_cordoba_ampliado[[#This Row],[EDAD DELINCUENTE]],'Rango etareo'!$A$10:$A$25,'Rango etareo'!$B$10:$B$25,,-1)</f>
        <v>46 - 55</v>
      </c>
      <c r="M404" s="3" t="s">
        <v>21</v>
      </c>
      <c r="N404" s="3" t="str">
        <f>IF(crimenes_cordoba_ampliado[[#This Row],[Género Delincuente]]="Femenino","🚺","🚹")</f>
        <v>🚺</v>
      </c>
      <c r="O404">
        <v>5</v>
      </c>
      <c r="P404" s="1">
        <v>27361</v>
      </c>
      <c r="Q404" s="7">
        <f>INT((crimenes_cordoba_ampliado[[#This Row],[Fecha]]-crimenes_cordoba_ampliado[[#This Row],[Fecha Nac. Víctima]])/365)</f>
        <v>41</v>
      </c>
      <c r="R404" s="7" t="str">
        <f>_xlfn.XLOOKUP(crimenes_cordoba_ampliado[[#This Row],[EDAD VICTIMA]],'Rango etareo'!$A$2:$A$25,'Rango etareo'!$B$2:$B$25,,-1)</f>
        <v>36 - 45</v>
      </c>
      <c r="S404" s="3" t="s">
        <v>21</v>
      </c>
      <c r="T404" s="3" t="str">
        <f>IF(crimenes_cordoba_ampliado[[#This Row],[Género Víctima]]="Masculino","🚹","🚺")</f>
        <v>🚺</v>
      </c>
      <c r="U404">
        <v>2</v>
      </c>
      <c r="V404" s="3" t="s">
        <v>23</v>
      </c>
      <c r="W404" s="3" t="s">
        <v>24</v>
      </c>
      <c r="X404" s="3" t="s">
        <v>24</v>
      </c>
      <c r="Y404" s="3" t="s">
        <v>72</v>
      </c>
      <c r="Z404" s="3" t="s">
        <v>25</v>
      </c>
      <c r="AA404" s="3" t="s">
        <v>25</v>
      </c>
      <c r="AB404" s="3" t="str">
        <f>IF(crimenes_cordoba_ampliado[[#This Row],[Hubo Arresto]]="Sí", "Resuelto", "Pendiente")</f>
        <v>Resuelto</v>
      </c>
      <c r="AC404" s="3" t="s">
        <v>167</v>
      </c>
      <c r="AD404" s="3"/>
    </row>
    <row r="405" spans="1:30" x14ac:dyDescent="0.25">
      <c r="A405">
        <v>902</v>
      </c>
      <c r="B405" s="1">
        <v>43609</v>
      </c>
      <c r="C405" s="33">
        <f t="shared" si="12"/>
        <v>43609</v>
      </c>
      <c r="D405" s="34">
        <f t="shared" si="13"/>
        <v>43609</v>
      </c>
      <c r="E405" s="35" t="s">
        <v>1455</v>
      </c>
      <c r="F405" s="2">
        <v>0.90972222222222221</v>
      </c>
      <c r="G405" s="3" t="s">
        <v>35</v>
      </c>
      <c r="H405" s="3" t="s">
        <v>52</v>
      </c>
      <c r="I405" s="25" t="str">
        <f>VLOOKUP(H405,Tabla5[#All],4,FALSE)</f>
        <v>-31,3477902896523, -64,2644406169297</v>
      </c>
      <c r="J405" s="1">
        <v>22693</v>
      </c>
      <c r="K405" s="7">
        <f>INT((crimenes_cordoba_ampliado[[#This Row],[Fecha]]-crimenes_cordoba_ampliado[[#This Row],[Fecha Nac. Delincuente]])/365)</f>
        <v>57</v>
      </c>
      <c r="L405" s="7" t="str">
        <f>_xlfn.XLOOKUP(crimenes_cordoba_ampliado[[#This Row],[EDAD DELINCUENTE]],'Rango etareo'!$A$10:$A$25,'Rango etareo'!$B$10:$B$25,,-1)</f>
        <v>56 - 65</v>
      </c>
      <c r="M405" s="3" t="s">
        <v>21</v>
      </c>
      <c r="N405" s="3" t="str">
        <f>IF(crimenes_cordoba_ampliado[[#This Row],[Género Delincuente]]="Femenino","🚺","🚹")</f>
        <v>🚺</v>
      </c>
      <c r="O405">
        <v>5</v>
      </c>
      <c r="P405" s="1">
        <v>29730</v>
      </c>
      <c r="Q405" s="7">
        <f>INT((crimenes_cordoba_ampliado[[#This Row],[Fecha]]-crimenes_cordoba_ampliado[[#This Row],[Fecha Nac. Víctima]])/365)</f>
        <v>38</v>
      </c>
      <c r="R405" s="7" t="str">
        <f>_xlfn.XLOOKUP(crimenes_cordoba_ampliado[[#This Row],[EDAD VICTIMA]],'Rango etareo'!$A$2:$A$25,'Rango etareo'!$B$2:$B$25,,-1)</f>
        <v>36 - 45</v>
      </c>
      <c r="S405" s="3" t="s">
        <v>22</v>
      </c>
      <c r="T405" s="3" t="str">
        <f>IF(crimenes_cordoba_ampliado[[#This Row],[Género Víctima]]="Masculino","🚹","🚺")</f>
        <v>🚹</v>
      </c>
      <c r="U405">
        <v>2</v>
      </c>
      <c r="V405" s="3" t="s">
        <v>25</v>
      </c>
      <c r="W405" s="3" t="s">
        <v>24</v>
      </c>
      <c r="X405" s="3" t="s">
        <v>29</v>
      </c>
      <c r="Y405" s="3" t="s">
        <v>24</v>
      </c>
      <c r="Z405" s="3" t="s">
        <v>23</v>
      </c>
      <c r="AA405" s="3" t="s">
        <v>23</v>
      </c>
      <c r="AB405" s="3" t="str">
        <f>IF(crimenes_cordoba_ampliado[[#This Row],[Hubo Arresto]]="Sí", "Resuelto", "Pendiente")</f>
        <v>Pendiente</v>
      </c>
      <c r="AC405" s="3" t="s">
        <v>24</v>
      </c>
      <c r="AD405" s="3"/>
    </row>
    <row r="406" spans="1:30" x14ac:dyDescent="0.25">
      <c r="A406">
        <v>403</v>
      </c>
      <c r="B406" s="1">
        <v>43611</v>
      </c>
      <c r="C406" s="33">
        <f t="shared" si="12"/>
        <v>43611</v>
      </c>
      <c r="D406" s="34">
        <f t="shared" si="13"/>
        <v>43611</v>
      </c>
      <c r="E406" s="35" t="s">
        <v>1449</v>
      </c>
      <c r="F406" s="2">
        <v>0.44166666666666665</v>
      </c>
      <c r="G406" s="3" t="s">
        <v>31</v>
      </c>
      <c r="H406" s="3" t="s">
        <v>28</v>
      </c>
      <c r="I406" s="25" t="str">
        <f>VLOOKUP(H406,Tabla5[#All],4,FALSE)</f>
        <v>-31,4129883640337, -64,1681120522587</v>
      </c>
      <c r="J406" s="1">
        <v>20988</v>
      </c>
      <c r="K406" s="7">
        <f>INT((crimenes_cordoba_ampliado[[#This Row],[Fecha]]-crimenes_cordoba_ampliado[[#This Row],[Fecha Nac. Delincuente]])/365)</f>
        <v>61</v>
      </c>
      <c r="L406" s="7" t="str">
        <f>_xlfn.XLOOKUP(crimenes_cordoba_ampliado[[#This Row],[EDAD DELINCUENTE]],'Rango etareo'!$A$10:$A$25,'Rango etareo'!$B$10:$B$25,,-1)</f>
        <v>56 - 65</v>
      </c>
      <c r="M406" s="3" t="s">
        <v>21</v>
      </c>
      <c r="N406" s="3" t="str">
        <f>IF(crimenes_cordoba_ampliado[[#This Row],[Género Delincuente]]="Femenino","🚺","🚹")</f>
        <v>🚺</v>
      </c>
      <c r="O406">
        <v>1</v>
      </c>
      <c r="P406" s="1">
        <v>29620</v>
      </c>
      <c r="Q406" s="7">
        <f>INT((crimenes_cordoba_ampliado[[#This Row],[Fecha]]-crimenes_cordoba_ampliado[[#This Row],[Fecha Nac. Víctima]])/365)</f>
        <v>38</v>
      </c>
      <c r="R406" s="7" t="str">
        <f>_xlfn.XLOOKUP(crimenes_cordoba_ampliado[[#This Row],[EDAD VICTIMA]],'Rango etareo'!$A$2:$A$25,'Rango etareo'!$B$2:$B$25,,-1)</f>
        <v>36 - 45</v>
      </c>
      <c r="S406" s="3" t="s">
        <v>22</v>
      </c>
      <c r="T406" s="3" t="str">
        <f>IF(crimenes_cordoba_ampliado[[#This Row],[Género Víctima]]="Masculino","🚹","🚺")</f>
        <v>🚹</v>
      </c>
      <c r="U406">
        <v>2</v>
      </c>
      <c r="V406" s="3" t="s">
        <v>25</v>
      </c>
      <c r="W406" s="3" t="s">
        <v>24</v>
      </c>
      <c r="X406" s="3" t="s">
        <v>24</v>
      </c>
      <c r="Y406" s="3" t="s">
        <v>43</v>
      </c>
      <c r="Z406" s="3" t="s">
        <v>25</v>
      </c>
      <c r="AA406" s="3" t="s">
        <v>23</v>
      </c>
      <c r="AB406" s="3" t="str">
        <f>IF(crimenes_cordoba_ampliado[[#This Row],[Hubo Arresto]]="Sí", "Resuelto", "Pendiente")</f>
        <v>Pendiente</v>
      </c>
      <c r="AC406" s="3" t="s">
        <v>24</v>
      </c>
      <c r="AD406" s="3"/>
    </row>
    <row r="407" spans="1:30" x14ac:dyDescent="0.25">
      <c r="A407">
        <v>394</v>
      </c>
      <c r="B407" s="1">
        <v>43304</v>
      </c>
      <c r="C407" s="33">
        <f t="shared" si="12"/>
        <v>43304</v>
      </c>
      <c r="D407" s="34">
        <f t="shared" si="13"/>
        <v>43304</v>
      </c>
      <c r="E407" s="35" t="s">
        <v>1452</v>
      </c>
      <c r="F407" s="2">
        <v>0.96319444444444446</v>
      </c>
      <c r="G407" s="3" t="s">
        <v>35</v>
      </c>
      <c r="H407" s="3" t="s">
        <v>32</v>
      </c>
      <c r="I407" s="25" t="str">
        <f>VLOOKUP(H407,Tabla5[#All],4,FALSE)</f>
        <v>-31,4148488101991, -64,1793406489438</v>
      </c>
      <c r="J407" s="1">
        <v>22999</v>
      </c>
      <c r="K407" s="7">
        <f>INT((crimenes_cordoba_ampliado[[#This Row],[Fecha]]-crimenes_cordoba_ampliado[[#This Row],[Fecha Nac. Delincuente]])/365)</f>
        <v>55</v>
      </c>
      <c r="L407" s="7" t="str">
        <f>_xlfn.XLOOKUP(crimenes_cordoba_ampliado[[#This Row],[EDAD DELINCUENTE]],'Rango etareo'!$A$10:$A$25,'Rango etareo'!$B$10:$B$25,,-1)</f>
        <v>46 - 55</v>
      </c>
      <c r="M407" s="3" t="s">
        <v>22</v>
      </c>
      <c r="N407" s="3" t="str">
        <f>IF(crimenes_cordoba_ampliado[[#This Row],[Género Delincuente]]="Femenino","🚺","🚹")</f>
        <v>🚹</v>
      </c>
      <c r="O407">
        <v>4</v>
      </c>
      <c r="P407" s="1">
        <v>36949</v>
      </c>
      <c r="Q407" s="7">
        <f>INT((crimenes_cordoba_ampliado[[#This Row],[Fecha]]-crimenes_cordoba_ampliado[[#This Row],[Fecha Nac. Víctima]])/365)</f>
        <v>17</v>
      </c>
      <c r="R407" s="7" t="str">
        <f>_xlfn.XLOOKUP(crimenes_cordoba_ampliado[[#This Row],[EDAD VICTIMA]],'Rango etareo'!$A$2:$A$25,'Rango etareo'!$B$2:$B$25,,-1)</f>
        <v>&lt;=17</v>
      </c>
      <c r="S407" s="3" t="s">
        <v>21</v>
      </c>
      <c r="T407" s="3" t="str">
        <f>IF(crimenes_cordoba_ampliado[[#This Row],[Género Víctima]]="Masculino","🚹","🚺")</f>
        <v>🚺</v>
      </c>
      <c r="U407">
        <v>2</v>
      </c>
      <c r="V407" s="3" t="s">
        <v>23</v>
      </c>
      <c r="W407" s="3" t="s">
        <v>36</v>
      </c>
      <c r="X407" s="3" t="s">
        <v>29</v>
      </c>
      <c r="Y407" s="3" t="s">
        <v>24</v>
      </c>
      <c r="Z407" s="3" t="s">
        <v>25</v>
      </c>
      <c r="AA407" s="3" t="s">
        <v>25</v>
      </c>
      <c r="AB407" s="3" t="str">
        <f>IF(crimenes_cordoba_ampliado[[#This Row],[Hubo Arresto]]="Sí", "Resuelto", "Pendiente")</f>
        <v>Resuelto</v>
      </c>
      <c r="AC407" s="3" t="s">
        <v>187</v>
      </c>
      <c r="AD407" s="3"/>
    </row>
    <row r="408" spans="1:30" x14ac:dyDescent="0.25">
      <c r="A408">
        <v>785</v>
      </c>
      <c r="B408" s="1">
        <v>43614</v>
      </c>
      <c r="C408" s="33">
        <f t="shared" si="12"/>
        <v>43614</v>
      </c>
      <c r="D408" s="34">
        <f t="shared" si="13"/>
        <v>43614</v>
      </c>
      <c r="E408" s="35" t="s">
        <v>1450</v>
      </c>
      <c r="F408" s="2">
        <v>0.99583333333333335</v>
      </c>
      <c r="G408" s="3" t="s">
        <v>54</v>
      </c>
      <c r="H408" s="3" t="s">
        <v>20</v>
      </c>
      <c r="I408" s="25" t="str">
        <f>VLOOKUP(H408,Tabla5[#All],4,FALSE)</f>
        <v>-31,4800162965848, -64,2094200976892</v>
      </c>
      <c r="J408" s="1">
        <v>20348</v>
      </c>
      <c r="K408" s="7">
        <f>INT((crimenes_cordoba_ampliado[[#This Row],[Fecha]]-crimenes_cordoba_ampliado[[#This Row],[Fecha Nac. Delincuente]])/365)</f>
        <v>63</v>
      </c>
      <c r="L408" s="7" t="str">
        <f>_xlfn.XLOOKUP(crimenes_cordoba_ampliado[[#This Row],[EDAD DELINCUENTE]],'Rango etareo'!$A$10:$A$25,'Rango etareo'!$B$10:$B$25,,-1)</f>
        <v>56 - 65</v>
      </c>
      <c r="M408" s="3" t="s">
        <v>21</v>
      </c>
      <c r="N408" s="3" t="str">
        <f>IF(crimenes_cordoba_ampliado[[#This Row],[Género Delincuente]]="Femenino","🚺","🚹")</f>
        <v>🚺</v>
      </c>
      <c r="O408">
        <v>4</v>
      </c>
      <c r="P408" s="1">
        <v>19087</v>
      </c>
      <c r="Q408" s="7">
        <f>INT((crimenes_cordoba_ampliado[[#This Row],[Fecha]]-crimenes_cordoba_ampliado[[#This Row],[Fecha Nac. Víctima]])/365)</f>
        <v>67</v>
      </c>
      <c r="R408" s="7" t="str">
        <f>_xlfn.XLOOKUP(crimenes_cordoba_ampliado[[#This Row],[EDAD VICTIMA]],'Rango etareo'!$A$2:$A$25,'Rango etareo'!$B$2:$B$25,,-1)</f>
        <v>&gt;65</v>
      </c>
      <c r="S408" s="3" t="s">
        <v>21</v>
      </c>
      <c r="T408" s="3" t="str">
        <f>IF(crimenes_cordoba_ampliado[[#This Row],[Género Víctima]]="Masculino","🚹","🚺")</f>
        <v>🚺</v>
      </c>
      <c r="U408">
        <v>2</v>
      </c>
      <c r="V408" s="3" t="s">
        <v>25</v>
      </c>
      <c r="W408" s="3" t="s">
        <v>24</v>
      </c>
      <c r="X408" s="3" t="s">
        <v>29</v>
      </c>
      <c r="Y408" s="3" t="s">
        <v>24</v>
      </c>
      <c r="Z408" s="3" t="s">
        <v>23</v>
      </c>
      <c r="AA408" s="3" t="s">
        <v>25</v>
      </c>
      <c r="AB408" s="3" t="str">
        <f>IF(crimenes_cordoba_ampliado[[#This Row],[Hubo Arresto]]="Sí", "Resuelto", "Pendiente")</f>
        <v>Pendiente</v>
      </c>
      <c r="AC408" s="3" t="s">
        <v>24</v>
      </c>
      <c r="AD408" s="3"/>
    </row>
    <row r="409" spans="1:30" x14ac:dyDescent="0.25">
      <c r="A409">
        <v>396</v>
      </c>
      <c r="B409" s="1">
        <v>43419</v>
      </c>
      <c r="C409" s="33">
        <f t="shared" si="12"/>
        <v>43419</v>
      </c>
      <c r="D409" s="34">
        <f t="shared" si="13"/>
        <v>43419</v>
      </c>
      <c r="E409" s="35" t="s">
        <v>1454</v>
      </c>
      <c r="F409" s="2">
        <v>0.43472222222222223</v>
      </c>
      <c r="G409" s="3" t="s">
        <v>27</v>
      </c>
      <c r="H409" s="3" t="s">
        <v>32</v>
      </c>
      <c r="I409" s="25" t="str">
        <f>VLOOKUP(H409,Tabla5[#All],4,FALSE)</f>
        <v>-31,4148488101991, -64,1793406489438</v>
      </c>
      <c r="J409" s="1">
        <v>36526</v>
      </c>
      <c r="K409" s="7">
        <f>INT((crimenes_cordoba_ampliado[[#This Row],[Fecha]]-crimenes_cordoba_ampliado[[#This Row],[Fecha Nac. Delincuente]])/365)</f>
        <v>18</v>
      </c>
      <c r="L409" s="7" t="str">
        <f>_xlfn.XLOOKUP(crimenes_cordoba_ampliado[[#This Row],[EDAD DELINCUENTE]],'Rango etareo'!$A$10:$A$25,'Rango etareo'!$B$10:$B$25,,-1)</f>
        <v>18 - 25</v>
      </c>
      <c r="M409" s="3" t="s">
        <v>22</v>
      </c>
      <c r="N409" s="3" t="str">
        <f>IF(crimenes_cordoba_ampliado[[#This Row],[Género Delincuente]]="Femenino","🚺","🚹")</f>
        <v>🚹</v>
      </c>
      <c r="O409">
        <v>2</v>
      </c>
      <c r="P409" s="1">
        <v>35142</v>
      </c>
      <c r="Q409" s="7">
        <f>INT((crimenes_cordoba_ampliado[[#This Row],[Fecha]]-crimenes_cordoba_ampliado[[#This Row],[Fecha Nac. Víctima]])/365)</f>
        <v>22</v>
      </c>
      <c r="R409" s="7" t="str">
        <f>_xlfn.XLOOKUP(crimenes_cordoba_ampliado[[#This Row],[EDAD VICTIMA]],'Rango etareo'!$A$2:$A$25,'Rango etareo'!$B$2:$B$25,,-1)</f>
        <v>18 - 25</v>
      </c>
      <c r="S409" s="3" t="s">
        <v>21</v>
      </c>
      <c r="T409" s="3" t="str">
        <f>IF(crimenes_cordoba_ampliado[[#This Row],[Género Víctima]]="Masculino","🚹","🚺")</f>
        <v>🚺</v>
      </c>
      <c r="U409">
        <v>3</v>
      </c>
      <c r="V409" s="3" t="s">
        <v>23</v>
      </c>
      <c r="W409" s="3" t="s">
        <v>24</v>
      </c>
      <c r="X409" s="3" t="s">
        <v>24</v>
      </c>
      <c r="Y409" s="3" t="s">
        <v>106</v>
      </c>
      <c r="Z409" s="3" t="s">
        <v>25</v>
      </c>
      <c r="AA409" s="3" t="s">
        <v>25</v>
      </c>
      <c r="AB409" s="3" t="str">
        <f>IF(crimenes_cordoba_ampliado[[#This Row],[Hubo Arresto]]="Sí", "Resuelto", "Pendiente")</f>
        <v>Resuelto</v>
      </c>
      <c r="AC409" s="3" t="s">
        <v>209</v>
      </c>
      <c r="AD409" s="3"/>
    </row>
    <row r="410" spans="1:30" x14ac:dyDescent="0.25">
      <c r="A410">
        <v>397</v>
      </c>
      <c r="B410" s="1">
        <v>45453</v>
      </c>
      <c r="C410" s="33">
        <f t="shared" si="12"/>
        <v>45453</v>
      </c>
      <c r="D410" s="34">
        <f t="shared" si="13"/>
        <v>45453</v>
      </c>
      <c r="E410" s="35" t="s">
        <v>1452</v>
      </c>
      <c r="F410" s="2">
        <v>0.55347222222222225</v>
      </c>
      <c r="G410" s="3" t="s">
        <v>35</v>
      </c>
      <c r="H410" s="3" t="s">
        <v>60</v>
      </c>
      <c r="I410" s="25" t="str">
        <f>VLOOKUP(H410,Tabla5[#All],4,FALSE)</f>
        <v>-31,4076397196409, -64,2020170430678</v>
      </c>
      <c r="J410" s="1">
        <v>23692</v>
      </c>
      <c r="K410" s="7">
        <f>INT((crimenes_cordoba_ampliado[[#This Row],[Fecha]]-crimenes_cordoba_ampliado[[#This Row],[Fecha Nac. Delincuente]])/365)</f>
        <v>59</v>
      </c>
      <c r="L410" s="7" t="str">
        <f>_xlfn.XLOOKUP(crimenes_cordoba_ampliado[[#This Row],[EDAD DELINCUENTE]],'Rango etareo'!$A$10:$A$25,'Rango etareo'!$B$10:$B$25,,-1)</f>
        <v>56 - 65</v>
      </c>
      <c r="M410" s="3" t="s">
        <v>22</v>
      </c>
      <c r="N410" s="3" t="str">
        <f>IF(crimenes_cordoba_ampliado[[#This Row],[Género Delincuente]]="Femenino","🚺","🚹")</f>
        <v>🚹</v>
      </c>
      <c r="O410">
        <v>3</v>
      </c>
      <c r="P410" s="1">
        <v>29874</v>
      </c>
      <c r="Q410" s="7">
        <f>INT((crimenes_cordoba_ampliado[[#This Row],[Fecha]]-crimenes_cordoba_ampliado[[#This Row],[Fecha Nac. Víctima]])/365)</f>
        <v>42</v>
      </c>
      <c r="R410" s="7" t="str">
        <f>_xlfn.XLOOKUP(crimenes_cordoba_ampliado[[#This Row],[EDAD VICTIMA]],'Rango etareo'!$A$2:$A$25,'Rango etareo'!$B$2:$B$25,,-1)</f>
        <v>36 - 45</v>
      </c>
      <c r="S410" s="3" t="s">
        <v>22</v>
      </c>
      <c r="T410" s="3" t="str">
        <f>IF(crimenes_cordoba_ampliado[[#This Row],[Género Víctima]]="Masculino","🚹","🚺")</f>
        <v>🚹</v>
      </c>
      <c r="U410">
        <v>3</v>
      </c>
      <c r="V410" s="3" t="s">
        <v>23</v>
      </c>
      <c r="W410" s="3" t="s">
        <v>24</v>
      </c>
      <c r="X410" s="3" t="s">
        <v>24</v>
      </c>
      <c r="Y410" s="3" t="s">
        <v>113</v>
      </c>
      <c r="Z410" s="3" t="s">
        <v>23</v>
      </c>
      <c r="AA410" s="3" t="s">
        <v>25</v>
      </c>
      <c r="AB410" s="3" t="str">
        <f>IF(crimenes_cordoba_ampliado[[#This Row],[Hubo Arresto]]="Sí", "Resuelto", "Pendiente")</f>
        <v>Resuelto</v>
      </c>
      <c r="AC410" s="3" t="s">
        <v>232</v>
      </c>
      <c r="AD410" s="3"/>
    </row>
    <row r="411" spans="1:30" x14ac:dyDescent="0.25">
      <c r="A411">
        <v>398</v>
      </c>
      <c r="B411" s="1">
        <v>43139</v>
      </c>
      <c r="C411" s="33">
        <f t="shared" si="12"/>
        <v>43139</v>
      </c>
      <c r="D411" s="34">
        <f t="shared" si="13"/>
        <v>43139</v>
      </c>
      <c r="E411" s="35" t="s">
        <v>1454</v>
      </c>
      <c r="F411" s="2">
        <v>0.45069444444444445</v>
      </c>
      <c r="G411" s="3" t="s">
        <v>51</v>
      </c>
      <c r="H411" s="3" t="s">
        <v>55</v>
      </c>
      <c r="I411" s="25" t="str">
        <f>VLOOKUP(H411,Tabla5[#All],4,FALSE)</f>
        <v>-31,4015892433235, -64,160442876477</v>
      </c>
      <c r="J411" s="1">
        <v>22890</v>
      </c>
      <c r="K411" s="7">
        <f>INT((crimenes_cordoba_ampliado[[#This Row],[Fecha]]-crimenes_cordoba_ampliado[[#This Row],[Fecha Nac. Delincuente]])/365)</f>
        <v>55</v>
      </c>
      <c r="L411" s="7" t="str">
        <f>_xlfn.XLOOKUP(crimenes_cordoba_ampliado[[#This Row],[EDAD DELINCUENTE]],'Rango etareo'!$A$10:$A$25,'Rango etareo'!$B$10:$B$25,,-1)</f>
        <v>46 - 55</v>
      </c>
      <c r="M411" s="3" t="s">
        <v>22</v>
      </c>
      <c r="N411" s="3" t="str">
        <f>IF(crimenes_cordoba_ampliado[[#This Row],[Género Delincuente]]="Femenino","🚺","🚹")</f>
        <v>🚹</v>
      </c>
      <c r="O411">
        <v>5</v>
      </c>
      <c r="P411" s="1">
        <v>28630</v>
      </c>
      <c r="Q411" s="7">
        <f>INT((crimenes_cordoba_ampliado[[#This Row],[Fecha]]-crimenes_cordoba_ampliado[[#This Row],[Fecha Nac. Víctima]])/365)</f>
        <v>39</v>
      </c>
      <c r="R411" s="7" t="str">
        <f>_xlfn.XLOOKUP(crimenes_cordoba_ampliado[[#This Row],[EDAD VICTIMA]],'Rango etareo'!$A$2:$A$25,'Rango etareo'!$B$2:$B$25,,-1)</f>
        <v>36 - 45</v>
      </c>
      <c r="S411" s="3" t="s">
        <v>22</v>
      </c>
      <c r="T411" s="3" t="str">
        <f>IF(crimenes_cordoba_ampliado[[#This Row],[Género Víctima]]="Masculino","🚹","🚺")</f>
        <v>🚹</v>
      </c>
      <c r="U411">
        <v>2</v>
      </c>
      <c r="V411" s="3" t="s">
        <v>23</v>
      </c>
      <c r="W411" s="3" t="s">
        <v>24</v>
      </c>
      <c r="X411" s="3" t="s">
        <v>24</v>
      </c>
      <c r="Y411" s="3" t="s">
        <v>39</v>
      </c>
      <c r="Z411" s="3" t="s">
        <v>25</v>
      </c>
      <c r="AA411" s="3" t="s">
        <v>25</v>
      </c>
      <c r="AB411" s="3" t="str">
        <f>IF(crimenes_cordoba_ampliado[[#This Row],[Hubo Arresto]]="Sí", "Resuelto", "Pendiente")</f>
        <v>Resuelto</v>
      </c>
      <c r="AC411" s="3" t="s">
        <v>233</v>
      </c>
      <c r="AD411" s="3"/>
    </row>
    <row r="412" spans="1:30" x14ac:dyDescent="0.25">
      <c r="A412">
        <v>401</v>
      </c>
      <c r="B412" s="1">
        <v>43050</v>
      </c>
      <c r="C412" s="33">
        <f t="shared" si="12"/>
        <v>43050</v>
      </c>
      <c r="D412" s="34">
        <f t="shared" si="13"/>
        <v>43050</v>
      </c>
      <c r="E412" s="35" t="s">
        <v>1451</v>
      </c>
      <c r="F412" s="2">
        <v>0.7729166666666667</v>
      </c>
      <c r="G412" s="3" t="s">
        <v>48</v>
      </c>
      <c r="H412" s="3" t="s">
        <v>70</v>
      </c>
      <c r="I412" s="25" t="str">
        <f>VLOOKUP(H412,Tabla5[#All],4,FALSE)</f>
        <v>-31,3759272890294, -64,2284587792478</v>
      </c>
      <c r="J412" s="1">
        <v>22702</v>
      </c>
      <c r="K412" s="7">
        <f>INT((crimenes_cordoba_ampliado[[#This Row],[Fecha]]-crimenes_cordoba_ampliado[[#This Row],[Fecha Nac. Delincuente]])/365)</f>
        <v>55</v>
      </c>
      <c r="L412" s="7" t="str">
        <f>_xlfn.XLOOKUP(crimenes_cordoba_ampliado[[#This Row],[EDAD DELINCUENTE]],'Rango etareo'!$A$10:$A$25,'Rango etareo'!$B$10:$B$25,,-1)</f>
        <v>46 - 55</v>
      </c>
      <c r="M412" s="3" t="s">
        <v>22</v>
      </c>
      <c r="N412" s="3" t="str">
        <f>IF(crimenes_cordoba_ampliado[[#This Row],[Género Delincuente]]="Femenino","🚺","🚹")</f>
        <v>🚹</v>
      </c>
      <c r="O412">
        <v>2</v>
      </c>
      <c r="P412" s="1">
        <v>41321</v>
      </c>
      <c r="Q412" s="7">
        <f>INT((crimenes_cordoba_ampliado[[#This Row],[Fecha]]-crimenes_cordoba_ampliado[[#This Row],[Fecha Nac. Víctima]])/365)</f>
        <v>4</v>
      </c>
      <c r="R412" s="7" t="str">
        <f>_xlfn.XLOOKUP(crimenes_cordoba_ampliado[[#This Row],[EDAD VICTIMA]],'Rango etareo'!$A$2:$A$25,'Rango etareo'!$B$2:$B$25,,-1)</f>
        <v>&lt;=17</v>
      </c>
      <c r="S412" s="3" t="s">
        <v>22</v>
      </c>
      <c r="T412" s="3" t="str">
        <f>IF(crimenes_cordoba_ampliado[[#This Row],[Género Víctima]]="Masculino","🚹","🚺")</f>
        <v>🚹</v>
      </c>
      <c r="U412">
        <v>2</v>
      </c>
      <c r="V412" s="3" t="s">
        <v>23</v>
      </c>
      <c r="W412" s="3" t="s">
        <v>24</v>
      </c>
      <c r="X412" s="3" t="s">
        <v>24</v>
      </c>
      <c r="Y412" s="3" t="s">
        <v>33</v>
      </c>
      <c r="Z412" s="3" t="s">
        <v>25</v>
      </c>
      <c r="AA412" s="3" t="s">
        <v>23</v>
      </c>
      <c r="AB412" s="3" t="str">
        <f>IF(crimenes_cordoba_ampliado[[#This Row],[Hubo Arresto]]="Sí", "Resuelto", "Pendiente")</f>
        <v>Resuelto</v>
      </c>
      <c r="AC412" s="3" t="s">
        <v>152</v>
      </c>
      <c r="AD412" s="3"/>
    </row>
    <row r="413" spans="1:30" x14ac:dyDescent="0.25">
      <c r="A413">
        <v>404</v>
      </c>
      <c r="B413" s="1">
        <v>44077</v>
      </c>
      <c r="C413" s="33">
        <f t="shared" si="12"/>
        <v>44077</v>
      </c>
      <c r="D413" s="34">
        <f t="shared" si="13"/>
        <v>44077</v>
      </c>
      <c r="E413" s="35" t="s">
        <v>1454</v>
      </c>
      <c r="F413" s="2">
        <v>0.69513888888888886</v>
      </c>
      <c r="G413" s="3" t="s">
        <v>79</v>
      </c>
      <c r="H413" s="3" t="s">
        <v>70</v>
      </c>
      <c r="I413" s="25" t="str">
        <f>VLOOKUP(H413,Tabla5[#All],4,FALSE)</f>
        <v>-31,3759272890294, -64,2284587792478</v>
      </c>
      <c r="J413" s="1">
        <v>22875</v>
      </c>
      <c r="K413" s="7">
        <f>INT((crimenes_cordoba_ampliado[[#This Row],[Fecha]]-crimenes_cordoba_ampliado[[#This Row],[Fecha Nac. Delincuente]])/365)</f>
        <v>58</v>
      </c>
      <c r="L413" s="7" t="str">
        <f>_xlfn.XLOOKUP(crimenes_cordoba_ampliado[[#This Row],[EDAD DELINCUENTE]],'Rango etareo'!$A$10:$A$25,'Rango etareo'!$B$10:$B$25,,-1)</f>
        <v>56 - 65</v>
      </c>
      <c r="M413" s="3" t="s">
        <v>22</v>
      </c>
      <c r="N413" s="3" t="str">
        <f>IF(crimenes_cordoba_ampliado[[#This Row],[Género Delincuente]]="Femenino","🚺","🚹")</f>
        <v>🚹</v>
      </c>
      <c r="O413">
        <v>1</v>
      </c>
      <c r="P413" s="1">
        <v>36698</v>
      </c>
      <c r="Q413" s="7">
        <f>INT((crimenes_cordoba_ampliado[[#This Row],[Fecha]]-crimenes_cordoba_ampliado[[#This Row],[Fecha Nac. Víctima]])/365)</f>
        <v>20</v>
      </c>
      <c r="R413" s="7" t="str">
        <f>_xlfn.XLOOKUP(crimenes_cordoba_ampliado[[#This Row],[EDAD VICTIMA]],'Rango etareo'!$A$2:$A$25,'Rango etareo'!$B$2:$B$25,,-1)</f>
        <v>18 - 25</v>
      </c>
      <c r="S413" s="3" t="s">
        <v>21</v>
      </c>
      <c r="T413" s="3" t="str">
        <f>IF(crimenes_cordoba_ampliado[[#This Row],[Género Víctima]]="Masculino","🚹","🚺")</f>
        <v>🚺</v>
      </c>
      <c r="U413">
        <v>1</v>
      </c>
      <c r="V413" s="3" t="s">
        <v>23</v>
      </c>
      <c r="W413" s="3" t="s">
        <v>24</v>
      </c>
      <c r="X413" s="3" t="s">
        <v>24</v>
      </c>
      <c r="Y413" s="3" t="s">
        <v>72</v>
      </c>
      <c r="Z413" s="3" t="s">
        <v>23</v>
      </c>
      <c r="AA413" s="3" t="s">
        <v>23</v>
      </c>
      <c r="AB413" s="3" t="str">
        <f>IF(crimenes_cordoba_ampliado[[#This Row],[Hubo Arresto]]="Sí", "Resuelto", "Pendiente")</f>
        <v>Resuelto</v>
      </c>
      <c r="AC413" s="3" t="s">
        <v>184</v>
      </c>
      <c r="AD413" s="3"/>
    </row>
    <row r="414" spans="1:30" x14ac:dyDescent="0.25">
      <c r="A414">
        <v>405</v>
      </c>
      <c r="B414" s="1">
        <v>42058</v>
      </c>
      <c r="C414" s="33">
        <f t="shared" si="12"/>
        <v>42058</v>
      </c>
      <c r="D414" s="34">
        <f t="shared" si="13"/>
        <v>42058</v>
      </c>
      <c r="E414" s="35" t="s">
        <v>1452</v>
      </c>
      <c r="F414" s="2">
        <v>0.91527777777777775</v>
      </c>
      <c r="G414" s="3" t="s">
        <v>42</v>
      </c>
      <c r="H414" s="3" t="s">
        <v>55</v>
      </c>
      <c r="I414" s="25" t="str">
        <f>VLOOKUP(H414,Tabla5[#All],4,FALSE)</f>
        <v>-31,4015892433235, -64,160442876477</v>
      </c>
      <c r="J414" s="1">
        <v>37214</v>
      </c>
      <c r="K414" s="7">
        <f>INT((crimenes_cordoba_ampliado[[#This Row],[Fecha]]-crimenes_cordoba_ampliado[[#This Row],[Fecha Nac. Delincuente]])/365)</f>
        <v>13</v>
      </c>
      <c r="L414" s="7" t="str">
        <f>_xlfn.XLOOKUP(crimenes_cordoba_ampliado[[#This Row],[EDAD DELINCUENTE]],'Rango etareo'!$A$10:$A$25,'Rango etareo'!$B$10:$B$25,,-1)</f>
        <v>&lt;=17</v>
      </c>
      <c r="M414" s="3" t="s">
        <v>22</v>
      </c>
      <c r="N414" s="3" t="str">
        <f>IF(crimenes_cordoba_ampliado[[#This Row],[Género Delincuente]]="Femenino","🚺","🚹")</f>
        <v>🚹</v>
      </c>
      <c r="O414">
        <v>2</v>
      </c>
      <c r="P414" s="1">
        <v>37785</v>
      </c>
      <c r="Q414" s="7">
        <f>INT((crimenes_cordoba_ampliado[[#This Row],[Fecha]]-crimenes_cordoba_ampliado[[#This Row],[Fecha Nac. Víctima]])/365)</f>
        <v>11</v>
      </c>
      <c r="R414" s="7" t="str">
        <f>_xlfn.XLOOKUP(crimenes_cordoba_ampliado[[#This Row],[EDAD VICTIMA]],'Rango etareo'!$A$2:$A$25,'Rango etareo'!$B$2:$B$25,,-1)</f>
        <v>&lt;=17</v>
      </c>
      <c r="S414" s="3" t="s">
        <v>21</v>
      </c>
      <c r="T414" s="3" t="str">
        <f>IF(crimenes_cordoba_ampliado[[#This Row],[Género Víctima]]="Masculino","🚹","🚺")</f>
        <v>🚺</v>
      </c>
      <c r="U414">
        <v>2</v>
      </c>
      <c r="V414" s="3" t="s">
        <v>23</v>
      </c>
      <c r="W414" s="3" t="s">
        <v>63</v>
      </c>
      <c r="X414" s="3" t="s">
        <v>67</v>
      </c>
      <c r="Y414" s="3" t="s">
        <v>24</v>
      </c>
      <c r="Z414" s="3" t="s">
        <v>25</v>
      </c>
      <c r="AA414" s="3" t="s">
        <v>25</v>
      </c>
      <c r="AB414" s="3" t="str">
        <f>IF(crimenes_cordoba_ampliado[[#This Row],[Hubo Arresto]]="Sí", "Resuelto", "Pendiente")</f>
        <v>Resuelto</v>
      </c>
      <c r="AC414" s="3" t="s">
        <v>149</v>
      </c>
      <c r="AD414" s="3"/>
    </row>
    <row r="415" spans="1:30" x14ac:dyDescent="0.25">
      <c r="A415">
        <v>556</v>
      </c>
      <c r="B415" s="1">
        <v>43645</v>
      </c>
      <c r="C415" s="33">
        <f t="shared" si="12"/>
        <v>43645</v>
      </c>
      <c r="D415" s="34">
        <f t="shared" si="13"/>
        <v>43645</v>
      </c>
      <c r="E415" s="35" t="s">
        <v>1451</v>
      </c>
      <c r="F415" s="2">
        <v>0.80902777777777779</v>
      </c>
      <c r="G415" s="3" t="s">
        <v>27</v>
      </c>
      <c r="H415" s="3" t="s">
        <v>32</v>
      </c>
      <c r="I415" s="25" t="str">
        <f>VLOOKUP(H415,Tabla5[#All],4,FALSE)</f>
        <v>-31,4148488101991, -64,1793406489438</v>
      </c>
      <c r="J415" s="1">
        <v>27538</v>
      </c>
      <c r="K415" s="7">
        <f>INT((crimenes_cordoba_ampliado[[#This Row],[Fecha]]-crimenes_cordoba_ampliado[[#This Row],[Fecha Nac. Delincuente]])/365)</f>
        <v>44</v>
      </c>
      <c r="L415" s="7" t="str">
        <f>_xlfn.XLOOKUP(crimenes_cordoba_ampliado[[#This Row],[EDAD DELINCUENTE]],'Rango etareo'!$A$10:$A$25,'Rango etareo'!$B$10:$B$25,,-1)</f>
        <v>36 - 45</v>
      </c>
      <c r="M415" s="3" t="s">
        <v>21</v>
      </c>
      <c r="N415" s="3" t="str">
        <f>IF(crimenes_cordoba_ampliado[[#This Row],[Género Delincuente]]="Femenino","🚺","🚹")</f>
        <v>🚺</v>
      </c>
      <c r="O415">
        <v>4</v>
      </c>
      <c r="P415" s="1">
        <v>26519</v>
      </c>
      <c r="Q415" s="7">
        <f>INT((crimenes_cordoba_ampliado[[#This Row],[Fecha]]-crimenes_cordoba_ampliado[[#This Row],[Fecha Nac. Víctima]])/365)</f>
        <v>46</v>
      </c>
      <c r="R415" s="7" t="str">
        <f>_xlfn.XLOOKUP(crimenes_cordoba_ampliado[[#This Row],[EDAD VICTIMA]],'Rango etareo'!$A$2:$A$25,'Rango etareo'!$B$2:$B$25,,-1)</f>
        <v>46 - 55</v>
      </c>
      <c r="S415" s="3" t="s">
        <v>22</v>
      </c>
      <c r="T415" s="3" t="str">
        <f>IF(crimenes_cordoba_ampliado[[#This Row],[Género Víctima]]="Masculino","🚹","🚺")</f>
        <v>🚹</v>
      </c>
      <c r="U415">
        <v>3</v>
      </c>
      <c r="V415" s="3" t="s">
        <v>25</v>
      </c>
      <c r="W415" s="3" t="s">
        <v>63</v>
      </c>
      <c r="X415" s="3" t="s">
        <v>50</v>
      </c>
      <c r="Y415" s="3" t="s">
        <v>24</v>
      </c>
      <c r="Z415" s="3" t="s">
        <v>25</v>
      </c>
      <c r="AA415" s="3" t="s">
        <v>23</v>
      </c>
      <c r="AB415" s="3" t="str">
        <f>IF(crimenes_cordoba_ampliado[[#This Row],[Hubo Arresto]]="Sí", "Resuelto", "Pendiente")</f>
        <v>Pendiente</v>
      </c>
      <c r="AC415" s="3" t="s">
        <v>24</v>
      </c>
      <c r="AD415" s="3"/>
    </row>
    <row r="416" spans="1:30" x14ac:dyDescent="0.25">
      <c r="A416">
        <v>409</v>
      </c>
      <c r="B416" s="1">
        <v>44149</v>
      </c>
      <c r="C416" s="33">
        <f t="shared" si="12"/>
        <v>44149</v>
      </c>
      <c r="D416" s="34">
        <f t="shared" si="13"/>
        <v>44149</v>
      </c>
      <c r="E416" s="35" t="s">
        <v>1451</v>
      </c>
      <c r="F416" s="2">
        <v>0.44444444444444442</v>
      </c>
      <c r="G416" s="3" t="s">
        <v>31</v>
      </c>
      <c r="H416" s="3" t="s">
        <v>60</v>
      </c>
      <c r="I416" s="25" t="str">
        <f>VLOOKUP(H416,Tabla5[#All],4,FALSE)</f>
        <v>-31,4076397196409, -64,2020170430678</v>
      </c>
      <c r="J416" s="1">
        <v>27914</v>
      </c>
      <c r="K416" s="7">
        <f>INT((crimenes_cordoba_ampliado[[#This Row],[Fecha]]-crimenes_cordoba_ampliado[[#This Row],[Fecha Nac. Delincuente]])/365)</f>
        <v>44</v>
      </c>
      <c r="L416" s="7" t="str">
        <f>_xlfn.XLOOKUP(crimenes_cordoba_ampliado[[#This Row],[EDAD DELINCUENTE]],'Rango etareo'!$A$10:$A$25,'Rango etareo'!$B$10:$B$25,,-1)</f>
        <v>36 - 45</v>
      </c>
      <c r="M416" s="3" t="s">
        <v>21</v>
      </c>
      <c r="N416" s="3" t="str">
        <f>IF(crimenes_cordoba_ampliado[[#This Row],[Género Delincuente]]="Femenino","🚺","🚹")</f>
        <v>🚺</v>
      </c>
      <c r="O416">
        <v>1</v>
      </c>
      <c r="P416" s="1">
        <v>39460</v>
      </c>
      <c r="Q416" s="7">
        <f>INT((crimenes_cordoba_ampliado[[#This Row],[Fecha]]-crimenes_cordoba_ampliado[[#This Row],[Fecha Nac. Víctima]])/365)</f>
        <v>12</v>
      </c>
      <c r="R416" s="7" t="str">
        <f>_xlfn.XLOOKUP(crimenes_cordoba_ampliado[[#This Row],[EDAD VICTIMA]],'Rango etareo'!$A$2:$A$25,'Rango etareo'!$B$2:$B$25,,-1)</f>
        <v>&lt;=17</v>
      </c>
      <c r="S416" s="3" t="s">
        <v>21</v>
      </c>
      <c r="T416" s="3" t="str">
        <f>IF(crimenes_cordoba_ampliado[[#This Row],[Género Víctima]]="Masculino","🚹","🚺")</f>
        <v>🚺</v>
      </c>
      <c r="U416">
        <v>1</v>
      </c>
      <c r="V416" s="3" t="s">
        <v>23</v>
      </c>
      <c r="W416" s="3" t="s">
        <v>24</v>
      </c>
      <c r="X416" s="3" t="s">
        <v>24</v>
      </c>
      <c r="Y416" s="3" t="s">
        <v>43</v>
      </c>
      <c r="Z416" s="3" t="s">
        <v>23</v>
      </c>
      <c r="AA416" s="3" t="s">
        <v>23</v>
      </c>
      <c r="AB416" s="3" t="str">
        <f>IF(crimenes_cordoba_ampliado[[#This Row],[Hubo Arresto]]="Sí", "Resuelto", "Pendiente")</f>
        <v>Resuelto</v>
      </c>
      <c r="AC416" s="3" t="s">
        <v>170</v>
      </c>
      <c r="AD416" s="3"/>
    </row>
    <row r="417" spans="1:30" x14ac:dyDescent="0.25">
      <c r="A417">
        <v>411</v>
      </c>
      <c r="B417" s="1">
        <v>45552</v>
      </c>
      <c r="C417" s="33">
        <f t="shared" si="12"/>
        <v>45552</v>
      </c>
      <c r="D417" s="34">
        <f t="shared" si="13"/>
        <v>45552</v>
      </c>
      <c r="E417" s="35" t="s">
        <v>1453</v>
      </c>
      <c r="F417" s="2">
        <v>0.72638888888888886</v>
      </c>
      <c r="G417" s="3" t="s">
        <v>38</v>
      </c>
      <c r="H417" s="3" t="s">
        <v>52</v>
      </c>
      <c r="I417" s="25" t="str">
        <f>VLOOKUP(H417,Tabla5[#All],4,FALSE)</f>
        <v>-31,3477902896523, -64,2644406169297</v>
      </c>
      <c r="J417" s="1">
        <v>25463</v>
      </c>
      <c r="K417" s="7">
        <f>INT((crimenes_cordoba_ampliado[[#This Row],[Fecha]]-crimenes_cordoba_ampliado[[#This Row],[Fecha Nac. Delincuente]])/365)</f>
        <v>55</v>
      </c>
      <c r="L417" s="7" t="str">
        <f>_xlfn.XLOOKUP(crimenes_cordoba_ampliado[[#This Row],[EDAD DELINCUENTE]],'Rango etareo'!$A$10:$A$25,'Rango etareo'!$B$10:$B$25,,-1)</f>
        <v>46 - 55</v>
      </c>
      <c r="M417" s="3" t="s">
        <v>22</v>
      </c>
      <c r="N417" s="3" t="str">
        <f>IF(crimenes_cordoba_ampliado[[#This Row],[Género Delincuente]]="Femenino","🚺","🚹")</f>
        <v>🚹</v>
      </c>
      <c r="O417">
        <v>1</v>
      </c>
      <c r="P417" s="1">
        <v>27104</v>
      </c>
      <c r="Q417" s="7">
        <f>INT((crimenes_cordoba_ampliado[[#This Row],[Fecha]]-crimenes_cordoba_ampliado[[#This Row],[Fecha Nac. Víctima]])/365)</f>
        <v>50</v>
      </c>
      <c r="R417" s="7" t="str">
        <f>_xlfn.XLOOKUP(crimenes_cordoba_ampliado[[#This Row],[EDAD VICTIMA]],'Rango etareo'!$A$2:$A$25,'Rango etareo'!$B$2:$B$25,,-1)</f>
        <v>46 - 55</v>
      </c>
      <c r="S417" s="3" t="s">
        <v>21</v>
      </c>
      <c r="T417" s="3" t="str">
        <f>IF(crimenes_cordoba_ampliado[[#This Row],[Género Víctima]]="Masculino","🚹","🚺")</f>
        <v>🚺</v>
      </c>
      <c r="U417">
        <v>1</v>
      </c>
      <c r="V417" s="3" t="s">
        <v>23</v>
      </c>
      <c r="W417" s="3" t="s">
        <v>24</v>
      </c>
      <c r="X417" s="3" t="s">
        <v>24</v>
      </c>
      <c r="Y417" s="3" t="s">
        <v>89</v>
      </c>
      <c r="Z417" s="3" t="s">
        <v>25</v>
      </c>
      <c r="AA417" s="3" t="s">
        <v>25</v>
      </c>
      <c r="AB417" s="3" t="str">
        <f>IF(crimenes_cordoba_ampliado[[#This Row],[Hubo Arresto]]="Sí", "Resuelto", "Pendiente")</f>
        <v>Resuelto</v>
      </c>
      <c r="AC417" s="3" t="s">
        <v>97</v>
      </c>
      <c r="AD417" s="3"/>
    </row>
    <row r="418" spans="1:30" x14ac:dyDescent="0.25">
      <c r="A418">
        <v>129</v>
      </c>
      <c r="B418" s="1">
        <v>43648</v>
      </c>
      <c r="C418" s="33">
        <f t="shared" si="12"/>
        <v>43648</v>
      </c>
      <c r="D418" s="34">
        <f t="shared" si="13"/>
        <v>43648</v>
      </c>
      <c r="E418" s="35" t="s">
        <v>1453</v>
      </c>
      <c r="F418" s="2">
        <v>0.75555555555555554</v>
      </c>
      <c r="G418" s="3" t="s">
        <v>19</v>
      </c>
      <c r="H418" s="3" t="s">
        <v>28</v>
      </c>
      <c r="I418" s="25" t="str">
        <f>VLOOKUP(H418,Tabla5[#All],4,FALSE)</f>
        <v>-31,4129883640337, -64,1681120522587</v>
      </c>
      <c r="J418" s="1">
        <v>33442</v>
      </c>
      <c r="K418" s="7">
        <f>INT((crimenes_cordoba_ampliado[[#This Row],[Fecha]]-crimenes_cordoba_ampliado[[#This Row],[Fecha Nac. Delincuente]])/365)</f>
        <v>27</v>
      </c>
      <c r="L418" s="7" t="str">
        <f>_xlfn.XLOOKUP(crimenes_cordoba_ampliado[[#This Row],[EDAD DELINCUENTE]],'Rango etareo'!$A$10:$A$25,'Rango etareo'!$B$10:$B$25,,-1)</f>
        <v>26 - 35</v>
      </c>
      <c r="M418" s="3" t="s">
        <v>21</v>
      </c>
      <c r="N418" s="3" t="str">
        <f>IF(crimenes_cordoba_ampliado[[#This Row],[Género Delincuente]]="Femenino","🚺","🚹")</f>
        <v>🚺</v>
      </c>
      <c r="O418">
        <v>1</v>
      </c>
      <c r="P418" s="1">
        <v>15035</v>
      </c>
      <c r="Q418" s="7">
        <f>INT((crimenes_cordoba_ampliado[[#This Row],[Fecha]]-crimenes_cordoba_ampliado[[#This Row],[Fecha Nac. Víctima]])/365)</f>
        <v>78</v>
      </c>
      <c r="R418" s="7" t="str">
        <f>_xlfn.XLOOKUP(crimenes_cordoba_ampliado[[#This Row],[EDAD VICTIMA]],'Rango etareo'!$A$2:$A$25,'Rango etareo'!$B$2:$B$25,,-1)</f>
        <v>&gt;65</v>
      </c>
      <c r="S418" s="3" t="s">
        <v>22</v>
      </c>
      <c r="T418" s="3" t="str">
        <f>IF(crimenes_cordoba_ampliado[[#This Row],[Género Víctima]]="Masculino","🚹","🚺")</f>
        <v>🚹</v>
      </c>
      <c r="U418">
        <v>2</v>
      </c>
      <c r="V418" s="3" t="s">
        <v>25</v>
      </c>
      <c r="W418" s="3" t="s">
        <v>24</v>
      </c>
      <c r="X418" s="3" t="s">
        <v>50</v>
      </c>
      <c r="Y418" s="3" t="s">
        <v>24</v>
      </c>
      <c r="Z418" s="3" t="s">
        <v>25</v>
      </c>
      <c r="AA418" s="3" t="s">
        <v>23</v>
      </c>
      <c r="AB418" s="3" t="str">
        <f>IF(crimenes_cordoba_ampliado[[#This Row],[Hubo Arresto]]="Sí", "Resuelto", "Pendiente")</f>
        <v>Pendiente</v>
      </c>
      <c r="AC418" s="3" t="s">
        <v>24</v>
      </c>
      <c r="AD418" s="3"/>
    </row>
    <row r="419" spans="1:30" x14ac:dyDescent="0.25">
      <c r="A419">
        <v>755</v>
      </c>
      <c r="B419" s="1">
        <v>43650</v>
      </c>
      <c r="C419" s="33">
        <f t="shared" si="12"/>
        <v>43650</v>
      </c>
      <c r="D419" s="34">
        <f t="shared" si="13"/>
        <v>43650</v>
      </c>
      <c r="E419" s="35" t="s">
        <v>1454</v>
      </c>
      <c r="F419" s="2">
        <v>0.45069444444444445</v>
      </c>
      <c r="G419" s="3" t="s">
        <v>42</v>
      </c>
      <c r="H419" s="3" t="s">
        <v>32</v>
      </c>
      <c r="I419" s="25" t="str">
        <f>VLOOKUP(H419,Tabla5[#All],4,FALSE)</f>
        <v>-31,4148488101991, -64,1793406489438</v>
      </c>
      <c r="J419" s="1">
        <v>27461</v>
      </c>
      <c r="K419" s="7">
        <f>INT((crimenes_cordoba_ampliado[[#This Row],[Fecha]]-crimenes_cordoba_ampliado[[#This Row],[Fecha Nac. Delincuente]])/365)</f>
        <v>44</v>
      </c>
      <c r="L419" s="7" t="str">
        <f>_xlfn.XLOOKUP(crimenes_cordoba_ampliado[[#This Row],[EDAD DELINCUENTE]],'Rango etareo'!$A$10:$A$25,'Rango etareo'!$B$10:$B$25,,-1)</f>
        <v>36 - 45</v>
      </c>
      <c r="M419" s="3" t="s">
        <v>22</v>
      </c>
      <c r="N419" s="3" t="str">
        <f>IF(crimenes_cordoba_ampliado[[#This Row],[Género Delincuente]]="Femenino","🚺","🚹")</f>
        <v>🚹</v>
      </c>
      <c r="O419">
        <v>3</v>
      </c>
      <c r="P419" s="1">
        <v>30919</v>
      </c>
      <c r="Q419" s="7">
        <f>INT((crimenes_cordoba_ampliado[[#This Row],[Fecha]]-crimenes_cordoba_ampliado[[#This Row],[Fecha Nac. Víctima]])/365)</f>
        <v>34</v>
      </c>
      <c r="R419" s="7" t="str">
        <f>_xlfn.XLOOKUP(crimenes_cordoba_ampliado[[#This Row],[EDAD VICTIMA]],'Rango etareo'!$A$2:$A$25,'Rango etareo'!$B$2:$B$25,,-1)</f>
        <v>26 - 35</v>
      </c>
      <c r="S419" s="3" t="s">
        <v>22</v>
      </c>
      <c r="T419" s="3" t="str">
        <f>IF(crimenes_cordoba_ampliado[[#This Row],[Género Víctima]]="Masculino","🚹","🚺")</f>
        <v>🚹</v>
      </c>
      <c r="U419">
        <v>3</v>
      </c>
      <c r="V419" s="3" t="s">
        <v>25</v>
      </c>
      <c r="W419" s="3" t="s">
        <v>24</v>
      </c>
      <c r="X419" s="3" t="s">
        <v>24</v>
      </c>
      <c r="Y419" s="3" t="s">
        <v>43</v>
      </c>
      <c r="Z419" s="3" t="s">
        <v>25</v>
      </c>
      <c r="AA419" s="3" t="s">
        <v>25</v>
      </c>
      <c r="AB419" s="3" t="str">
        <f>IF(crimenes_cordoba_ampliado[[#This Row],[Hubo Arresto]]="Sí", "Resuelto", "Pendiente")</f>
        <v>Pendiente</v>
      </c>
      <c r="AC419" s="3" t="s">
        <v>24</v>
      </c>
      <c r="AD419" s="3"/>
    </row>
    <row r="420" spans="1:30" x14ac:dyDescent="0.25">
      <c r="A420">
        <v>563</v>
      </c>
      <c r="B420" s="1">
        <v>43652</v>
      </c>
      <c r="C420" s="33">
        <f t="shared" si="12"/>
        <v>43652</v>
      </c>
      <c r="D420" s="34">
        <f t="shared" si="13"/>
        <v>43652</v>
      </c>
      <c r="E420" s="35" t="s">
        <v>1451</v>
      </c>
      <c r="F420" s="2">
        <v>0.74375000000000002</v>
      </c>
      <c r="G420" s="3" t="s">
        <v>31</v>
      </c>
      <c r="H420" s="3" t="s">
        <v>49</v>
      </c>
      <c r="I420" s="25" t="str">
        <f>VLOOKUP(H420,Tabla5[#All],4,FALSE)</f>
        <v>-31,4506257494184, -64,1733054344705</v>
      </c>
      <c r="J420" s="1">
        <v>38957</v>
      </c>
      <c r="K420" s="7">
        <f>INT((crimenes_cordoba_ampliado[[#This Row],[Fecha]]-crimenes_cordoba_ampliado[[#This Row],[Fecha Nac. Delincuente]])/365)</f>
        <v>12</v>
      </c>
      <c r="L420" s="7" t="str">
        <f>_xlfn.XLOOKUP(crimenes_cordoba_ampliado[[#This Row],[EDAD DELINCUENTE]],'Rango etareo'!$A$10:$A$25,'Rango etareo'!$B$10:$B$25,,-1)</f>
        <v>&lt;=17</v>
      </c>
      <c r="M420" s="3" t="s">
        <v>21</v>
      </c>
      <c r="N420" s="3" t="str">
        <f>IF(crimenes_cordoba_ampliado[[#This Row],[Género Delincuente]]="Femenino","🚺","🚹")</f>
        <v>🚺</v>
      </c>
      <c r="O420">
        <v>5</v>
      </c>
      <c r="P420" s="1">
        <v>18721</v>
      </c>
      <c r="Q420" s="7">
        <f>INT((crimenes_cordoba_ampliado[[#This Row],[Fecha]]-crimenes_cordoba_ampliado[[#This Row],[Fecha Nac. Víctima]])/365)</f>
        <v>68</v>
      </c>
      <c r="R420" s="7" t="str">
        <f>_xlfn.XLOOKUP(crimenes_cordoba_ampliado[[#This Row],[EDAD VICTIMA]],'Rango etareo'!$A$2:$A$25,'Rango etareo'!$B$2:$B$25,,-1)</f>
        <v>&gt;65</v>
      </c>
      <c r="S420" s="3" t="s">
        <v>21</v>
      </c>
      <c r="T420" s="3" t="str">
        <f>IF(crimenes_cordoba_ampliado[[#This Row],[Género Víctima]]="Masculino","🚹","🚺")</f>
        <v>🚺</v>
      </c>
      <c r="U420">
        <v>3</v>
      </c>
      <c r="V420" s="3" t="s">
        <v>25</v>
      </c>
      <c r="W420" s="3" t="s">
        <v>24</v>
      </c>
      <c r="X420" s="3" t="s">
        <v>24</v>
      </c>
      <c r="Y420" s="3" t="s">
        <v>86</v>
      </c>
      <c r="Z420" s="3" t="s">
        <v>25</v>
      </c>
      <c r="AA420" s="3" t="s">
        <v>25</v>
      </c>
      <c r="AB420" s="3" t="str">
        <f>IF(crimenes_cordoba_ampliado[[#This Row],[Hubo Arresto]]="Sí", "Resuelto", "Pendiente")</f>
        <v>Pendiente</v>
      </c>
      <c r="AC420" s="3" t="s">
        <v>24</v>
      </c>
      <c r="AD420" s="3"/>
    </row>
    <row r="421" spans="1:30" x14ac:dyDescent="0.25">
      <c r="A421">
        <v>414</v>
      </c>
      <c r="B421" s="1">
        <v>43152</v>
      </c>
      <c r="C421" s="33">
        <f t="shared" si="12"/>
        <v>43152</v>
      </c>
      <c r="D421" s="34">
        <f t="shared" si="13"/>
        <v>43152</v>
      </c>
      <c r="E421" s="35" t="s">
        <v>1450</v>
      </c>
      <c r="F421" s="2">
        <v>0.96388888888888891</v>
      </c>
      <c r="G421" s="3" t="s">
        <v>81</v>
      </c>
      <c r="H421" s="3" t="s">
        <v>65</v>
      </c>
      <c r="I421" s="25" t="str">
        <f>VLOOKUP(H421,Tabla5[#All],4,FALSE)</f>
        <v>-31,4285567311661, -64,1853198281007</v>
      </c>
      <c r="J421" s="1">
        <v>26168</v>
      </c>
      <c r="K421" s="7">
        <f>INT((crimenes_cordoba_ampliado[[#This Row],[Fecha]]-crimenes_cordoba_ampliado[[#This Row],[Fecha Nac. Delincuente]])/365)</f>
        <v>46</v>
      </c>
      <c r="L421" s="7" t="str">
        <f>_xlfn.XLOOKUP(crimenes_cordoba_ampliado[[#This Row],[EDAD DELINCUENTE]],'Rango etareo'!$A$10:$A$25,'Rango etareo'!$B$10:$B$25,,-1)</f>
        <v>46 - 55</v>
      </c>
      <c r="M421" s="3" t="s">
        <v>22</v>
      </c>
      <c r="N421" s="3" t="str">
        <f>IF(crimenes_cordoba_ampliado[[#This Row],[Género Delincuente]]="Femenino","🚺","🚹")</f>
        <v>🚹</v>
      </c>
      <c r="O421">
        <v>2</v>
      </c>
      <c r="P421" s="1">
        <v>35841</v>
      </c>
      <c r="Q421" s="7">
        <f>INT((crimenes_cordoba_ampliado[[#This Row],[Fecha]]-crimenes_cordoba_ampliado[[#This Row],[Fecha Nac. Víctima]])/365)</f>
        <v>20</v>
      </c>
      <c r="R421" s="7" t="str">
        <f>_xlfn.XLOOKUP(crimenes_cordoba_ampliado[[#This Row],[EDAD VICTIMA]],'Rango etareo'!$A$2:$A$25,'Rango etareo'!$B$2:$B$25,,-1)</f>
        <v>18 - 25</v>
      </c>
      <c r="S421" s="3" t="s">
        <v>21</v>
      </c>
      <c r="T421" s="3" t="str">
        <f>IF(crimenes_cordoba_ampliado[[#This Row],[Género Víctima]]="Masculino","🚹","🚺")</f>
        <v>🚺</v>
      </c>
      <c r="U421">
        <v>3</v>
      </c>
      <c r="V421" s="3" t="s">
        <v>23</v>
      </c>
      <c r="W421" s="3" t="s">
        <v>83</v>
      </c>
      <c r="X421" s="3" t="s">
        <v>24</v>
      </c>
      <c r="Y421" s="3" t="s">
        <v>77</v>
      </c>
      <c r="Z421" s="3" t="s">
        <v>25</v>
      </c>
      <c r="AA421" s="3" t="s">
        <v>25</v>
      </c>
      <c r="AB421" s="3" t="str">
        <f>IF(crimenes_cordoba_ampliado[[#This Row],[Hubo Arresto]]="Sí", "Resuelto", "Pendiente")</f>
        <v>Resuelto</v>
      </c>
      <c r="AC421" s="3" t="s">
        <v>192</v>
      </c>
      <c r="AD421" s="3"/>
    </row>
    <row r="422" spans="1:30" x14ac:dyDescent="0.25">
      <c r="A422">
        <v>327</v>
      </c>
      <c r="B422" s="1">
        <v>43656</v>
      </c>
      <c r="C422" s="33">
        <f t="shared" si="12"/>
        <v>43656</v>
      </c>
      <c r="D422" s="34">
        <f t="shared" si="13"/>
        <v>43656</v>
      </c>
      <c r="E422" s="35" t="s">
        <v>1450</v>
      </c>
      <c r="F422" s="2">
        <v>0.48055555555555557</v>
      </c>
      <c r="G422" s="3" t="s">
        <v>79</v>
      </c>
      <c r="H422" s="3" t="s">
        <v>62</v>
      </c>
      <c r="I422" s="25" t="str">
        <f>VLOOKUP(H422,Tabla5[#All],4,FALSE)</f>
        <v>-31,3909520937826, -64,1836424491715</v>
      </c>
      <c r="J422" s="1">
        <v>23170</v>
      </c>
      <c r="K422" s="7">
        <f>INT((crimenes_cordoba_ampliado[[#This Row],[Fecha]]-crimenes_cordoba_ampliado[[#This Row],[Fecha Nac. Delincuente]])/365)</f>
        <v>56</v>
      </c>
      <c r="L422" s="7" t="str">
        <f>_xlfn.XLOOKUP(crimenes_cordoba_ampliado[[#This Row],[EDAD DELINCUENTE]],'Rango etareo'!$A$10:$A$25,'Rango etareo'!$B$10:$B$25,,-1)</f>
        <v>56 - 65</v>
      </c>
      <c r="M422" s="3" t="s">
        <v>21</v>
      </c>
      <c r="N422" s="3" t="str">
        <f>IF(crimenes_cordoba_ampliado[[#This Row],[Género Delincuente]]="Femenino","🚺","🚹")</f>
        <v>🚺</v>
      </c>
      <c r="O422">
        <v>1</v>
      </c>
      <c r="P422" s="1">
        <v>28195</v>
      </c>
      <c r="Q422" s="7">
        <f>INT((crimenes_cordoba_ampliado[[#This Row],[Fecha]]-crimenes_cordoba_ampliado[[#This Row],[Fecha Nac. Víctima]])/365)</f>
        <v>42</v>
      </c>
      <c r="R422" s="7" t="str">
        <f>_xlfn.XLOOKUP(crimenes_cordoba_ampliado[[#This Row],[EDAD VICTIMA]],'Rango etareo'!$A$2:$A$25,'Rango etareo'!$B$2:$B$25,,-1)</f>
        <v>36 - 45</v>
      </c>
      <c r="S422" s="3" t="s">
        <v>22</v>
      </c>
      <c r="T422" s="3" t="str">
        <f>IF(crimenes_cordoba_ampliado[[#This Row],[Género Víctima]]="Masculino","🚹","🚺")</f>
        <v>🚹</v>
      </c>
      <c r="U422">
        <v>2</v>
      </c>
      <c r="V422" s="3" t="s">
        <v>25</v>
      </c>
      <c r="W422" s="3" t="s">
        <v>24</v>
      </c>
      <c r="X422" s="3" t="s">
        <v>24</v>
      </c>
      <c r="Y422" s="3" t="s">
        <v>89</v>
      </c>
      <c r="Z422" s="3" t="s">
        <v>25</v>
      </c>
      <c r="AA422" s="3" t="s">
        <v>25</v>
      </c>
      <c r="AB422" s="3" t="str">
        <f>IF(crimenes_cordoba_ampliado[[#This Row],[Hubo Arresto]]="Sí", "Resuelto", "Pendiente")</f>
        <v>Pendiente</v>
      </c>
      <c r="AC422" s="3" t="s">
        <v>24</v>
      </c>
      <c r="AD422" s="3"/>
    </row>
    <row r="423" spans="1:30" x14ac:dyDescent="0.25">
      <c r="A423">
        <v>415</v>
      </c>
      <c r="B423" s="1">
        <v>44203</v>
      </c>
      <c r="C423" s="33">
        <f t="shared" si="12"/>
        <v>44203</v>
      </c>
      <c r="D423" s="34">
        <f t="shared" si="13"/>
        <v>44203</v>
      </c>
      <c r="E423" s="35" t="s">
        <v>1454</v>
      </c>
      <c r="F423" s="2">
        <v>0.90694444444444444</v>
      </c>
      <c r="G423" s="3" t="s">
        <v>51</v>
      </c>
      <c r="H423" s="3" t="s">
        <v>20</v>
      </c>
      <c r="I423" s="25" t="str">
        <f>VLOOKUP(H423,Tabla5[#All],4,FALSE)</f>
        <v>-31,4800162965848, -64,2094200976892</v>
      </c>
      <c r="J423" s="1">
        <v>20953</v>
      </c>
      <c r="K423" s="7">
        <f>INT((crimenes_cordoba_ampliado[[#This Row],[Fecha]]-crimenes_cordoba_ampliado[[#This Row],[Fecha Nac. Delincuente]])/365)</f>
        <v>63</v>
      </c>
      <c r="L423" s="7" t="str">
        <f>_xlfn.XLOOKUP(crimenes_cordoba_ampliado[[#This Row],[EDAD DELINCUENTE]],'Rango etareo'!$A$10:$A$25,'Rango etareo'!$B$10:$B$25,,-1)</f>
        <v>56 - 65</v>
      </c>
      <c r="M423" s="3" t="s">
        <v>21</v>
      </c>
      <c r="N423" s="3" t="str">
        <f>IF(crimenes_cordoba_ampliado[[#This Row],[Género Delincuente]]="Femenino","🚺","🚹")</f>
        <v>🚺</v>
      </c>
      <c r="O423">
        <v>1</v>
      </c>
      <c r="P423" s="1">
        <v>17327</v>
      </c>
      <c r="Q423" s="7">
        <f>INT((crimenes_cordoba_ampliado[[#This Row],[Fecha]]-crimenes_cordoba_ampliado[[#This Row],[Fecha Nac. Víctima]])/365)</f>
        <v>73</v>
      </c>
      <c r="R423" s="7" t="str">
        <f>_xlfn.XLOOKUP(crimenes_cordoba_ampliado[[#This Row],[EDAD VICTIMA]],'Rango etareo'!$A$2:$A$25,'Rango etareo'!$B$2:$B$25,,-1)</f>
        <v>&gt;65</v>
      </c>
      <c r="S423" s="3" t="s">
        <v>22</v>
      </c>
      <c r="T423" s="3" t="str">
        <f>IF(crimenes_cordoba_ampliado[[#This Row],[Género Víctima]]="Masculino","🚹","🚺")</f>
        <v>🚹</v>
      </c>
      <c r="U423">
        <v>2</v>
      </c>
      <c r="V423" s="3" t="s">
        <v>23</v>
      </c>
      <c r="W423" s="3" t="s">
        <v>36</v>
      </c>
      <c r="X423" s="3" t="s">
        <v>24</v>
      </c>
      <c r="Y423" s="3" t="s">
        <v>77</v>
      </c>
      <c r="Z423" s="3" t="s">
        <v>25</v>
      </c>
      <c r="AA423" s="3" t="s">
        <v>25</v>
      </c>
      <c r="AB423" s="3" t="str">
        <f>IF(crimenes_cordoba_ampliado[[#This Row],[Hubo Arresto]]="Sí", "Resuelto", "Pendiente")</f>
        <v>Resuelto</v>
      </c>
      <c r="AC423" s="3" t="s">
        <v>85</v>
      </c>
      <c r="AD423" s="3"/>
    </row>
    <row r="424" spans="1:30" x14ac:dyDescent="0.25">
      <c r="A424">
        <v>492</v>
      </c>
      <c r="B424" s="1">
        <v>43668</v>
      </c>
      <c r="C424" s="33">
        <f t="shared" si="12"/>
        <v>43668</v>
      </c>
      <c r="D424" s="34">
        <f t="shared" si="13"/>
        <v>43668</v>
      </c>
      <c r="E424" s="35" t="s">
        <v>1452</v>
      </c>
      <c r="F424" s="2">
        <v>0.43472222222222223</v>
      </c>
      <c r="G424" s="3" t="s">
        <v>27</v>
      </c>
      <c r="H424" s="3" t="s">
        <v>28</v>
      </c>
      <c r="I424" s="25" t="str">
        <f>VLOOKUP(H424,Tabla5[#All],4,FALSE)</f>
        <v>-31,4129883640337, -64,1681120522587</v>
      </c>
      <c r="J424" s="1">
        <v>21324</v>
      </c>
      <c r="K424" s="7">
        <f>INT((crimenes_cordoba_ampliado[[#This Row],[Fecha]]-crimenes_cordoba_ampliado[[#This Row],[Fecha Nac. Delincuente]])/365)</f>
        <v>61</v>
      </c>
      <c r="L424" s="7" t="str">
        <f>_xlfn.XLOOKUP(crimenes_cordoba_ampliado[[#This Row],[EDAD DELINCUENTE]],'Rango etareo'!$A$10:$A$25,'Rango etareo'!$B$10:$B$25,,-1)</f>
        <v>56 - 65</v>
      </c>
      <c r="M424" s="3" t="s">
        <v>22</v>
      </c>
      <c r="N424" s="3" t="str">
        <f>IF(crimenes_cordoba_ampliado[[#This Row],[Género Delincuente]]="Femenino","🚺","🚹")</f>
        <v>🚹</v>
      </c>
      <c r="O424">
        <v>1</v>
      </c>
      <c r="P424" s="1">
        <v>23164</v>
      </c>
      <c r="Q424" s="7">
        <f>INT((crimenes_cordoba_ampliado[[#This Row],[Fecha]]-crimenes_cordoba_ampliado[[#This Row],[Fecha Nac. Víctima]])/365)</f>
        <v>56</v>
      </c>
      <c r="R424" s="7" t="str">
        <f>_xlfn.XLOOKUP(crimenes_cordoba_ampliado[[#This Row],[EDAD VICTIMA]],'Rango etareo'!$A$2:$A$25,'Rango etareo'!$B$2:$B$25,,-1)</f>
        <v>56 - 65</v>
      </c>
      <c r="S424" s="3" t="s">
        <v>22</v>
      </c>
      <c r="T424" s="3" t="str">
        <f>IF(crimenes_cordoba_ampliado[[#This Row],[Género Víctima]]="Masculino","🚹","🚺")</f>
        <v>🚹</v>
      </c>
      <c r="U424">
        <v>2</v>
      </c>
      <c r="V424" s="3" t="s">
        <v>25</v>
      </c>
      <c r="W424" s="3" t="s">
        <v>24</v>
      </c>
      <c r="X424" s="3" t="s">
        <v>24</v>
      </c>
      <c r="Y424" s="3" t="s">
        <v>39</v>
      </c>
      <c r="Z424" s="3" t="s">
        <v>25</v>
      </c>
      <c r="AA424" s="3" t="s">
        <v>25</v>
      </c>
      <c r="AB424" s="3" t="str">
        <f>IF(crimenes_cordoba_ampliado[[#This Row],[Hubo Arresto]]="Sí", "Resuelto", "Pendiente")</f>
        <v>Pendiente</v>
      </c>
      <c r="AC424" s="3" t="s">
        <v>24</v>
      </c>
      <c r="AD424" s="3"/>
    </row>
    <row r="425" spans="1:30" x14ac:dyDescent="0.25">
      <c r="A425">
        <v>416</v>
      </c>
      <c r="B425" s="1">
        <v>42550</v>
      </c>
      <c r="C425" s="33">
        <f t="shared" si="12"/>
        <v>42550</v>
      </c>
      <c r="D425" s="34">
        <f t="shared" si="13"/>
        <v>42550</v>
      </c>
      <c r="E425" s="35" t="s">
        <v>1450</v>
      </c>
      <c r="F425" s="2">
        <v>0.75208333333333333</v>
      </c>
      <c r="G425" s="3" t="s">
        <v>51</v>
      </c>
      <c r="H425" s="3" t="s">
        <v>49</v>
      </c>
      <c r="I425" s="25" t="str">
        <f>VLOOKUP(H425,Tabla5[#All],4,FALSE)</f>
        <v>-31,4506257494184, -64,1733054344705</v>
      </c>
      <c r="J425" s="1">
        <v>37265</v>
      </c>
      <c r="K425" s="7">
        <f>INT((crimenes_cordoba_ampliado[[#This Row],[Fecha]]-crimenes_cordoba_ampliado[[#This Row],[Fecha Nac. Delincuente]])/365)</f>
        <v>14</v>
      </c>
      <c r="L425" s="7" t="str">
        <f>_xlfn.XLOOKUP(crimenes_cordoba_ampliado[[#This Row],[EDAD DELINCUENTE]],'Rango etareo'!$A$10:$A$25,'Rango etareo'!$B$10:$B$25,,-1)</f>
        <v>&lt;=17</v>
      </c>
      <c r="M425" s="3" t="s">
        <v>21</v>
      </c>
      <c r="N425" s="3" t="str">
        <f>IF(crimenes_cordoba_ampliado[[#This Row],[Género Delincuente]]="Femenino","🚺","🚹")</f>
        <v>🚺</v>
      </c>
      <c r="O425">
        <v>5</v>
      </c>
      <c r="P425" s="1">
        <v>42045</v>
      </c>
      <c r="Q425" s="7">
        <f>INT((crimenes_cordoba_ampliado[[#This Row],[Fecha]]-crimenes_cordoba_ampliado[[#This Row],[Fecha Nac. Víctima]])/365)</f>
        <v>1</v>
      </c>
      <c r="R425" s="7" t="str">
        <f>_xlfn.XLOOKUP(crimenes_cordoba_ampliado[[#This Row],[EDAD VICTIMA]],'Rango etareo'!$A$2:$A$25,'Rango etareo'!$B$2:$B$25,,-1)</f>
        <v>&lt;=17</v>
      </c>
      <c r="S425" s="3" t="s">
        <v>22</v>
      </c>
      <c r="T425" s="3" t="str">
        <f>IF(crimenes_cordoba_ampliado[[#This Row],[Género Víctima]]="Masculino","🚹","🚺")</f>
        <v>🚹</v>
      </c>
      <c r="U425">
        <v>3</v>
      </c>
      <c r="V425" s="3" t="s">
        <v>23</v>
      </c>
      <c r="W425" s="3" t="s">
        <v>24</v>
      </c>
      <c r="X425" s="3" t="s">
        <v>24</v>
      </c>
      <c r="Y425" s="3" t="s">
        <v>106</v>
      </c>
      <c r="Z425" s="3" t="s">
        <v>25</v>
      </c>
      <c r="AA425" s="3" t="s">
        <v>25</v>
      </c>
      <c r="AB425" s="3" t="str">
        <f>IF(crimenes_cordoba_ampliado[[#This Row],[Hubo Arresto]]="Sí", "Resuelto", "Pendiente")</f>
        <v>Resuelto</v>
      </c>
      <c r="AC425" s="3" t="s">
        <v>227</v>
      </c>
      <c r="AD425" s="3"/>
    </row>
    <row r="426" spans="1:30" x14ac:dyDescent="0.25">
      <c r="A426">
        <v>420</v>
      </c>
      <c r="B426" s="1">
        <v>43709</v>
      </c>
      <c r="C426" s="33">
        <f t="shared" si="12"/>
        <v>43709</v>
      </c>
      <c r="D426" s="34">
        <f t="shared" si="13"/>
        <v>43709</v>
      </c>
      <c r="E426" s="35" t="s">
        <v>1449</v>
      </c>
      <c r="F426" s="2">
        <v>0.38819444444444445</v>
      </c>
      <c r="G426" s="3" t="s">
        <v>42</v>
      </c>
      <c r="H426" s="3" t="s">
        <v>28</v>
      </c>
      <c r="I426" s="25" t="str">
        <f>VLOOKUP(H426,Tabla5[#All],4,FALSE)</f>
        <v>-31,4129883640337, -64,1681120522587</v>
      </c>
      <c r="J426" s="1">
        <v>20705</v>
      </c>
      <c r="K426" s="7">
        <f>INT((crimenes_cordoba_ampliado[[#This Row],[Fecha]]-crimenes_cordoba_ampliado[[#This Row],[Fecha Nac. Delincuente]])/365)</f>
        <v>63</v>
      </c>
      <c r="L426" s="7" t="str">
        <f>_xlfn.XLOOKUP(crimenes_cordoba_ampliado[[#This Row],[EDAD DELINCUENTE]],'Rango etareo'!$A$10:$A$25,'Rango etareo'!$B$10:$B$25,,-1)</f>
        <v>56 - 65</v>
      </c>
      <c r="M426" s="3" t="s">
        <v>21</v>
      </c>
      <c r="N426" s="3" t="str">
        <f>IF(crimenes_cordoba_ampliado[[#This Row],[Género Delincuente]]="Femenino","🚺","🚹")</f>
        <v>🚺</v>
      </c>
      <c r="O426">
        <v>4</v>
      </c>
      <c r="P426" s="1">
        <v>40402</v>
      </c>
      <c r="Q426" s="7">
        <f>INT((crimenes_cordoba_ampliado[[#This Row],[Fecha]]-crimenes_cordoba_ampliado[[#This Row],[Fecha Nac. Víctima]])/365)</f>
        <v>9</v>
      </c>
      <c r="R426" s="7" t="str">
        <f>_xlfn.XLOOKUP(crimenes_cordoba_ampliado[[#This Row],[EDAD VICTIMA]],'Rango etareo'!$A$2:$A$25,'Rango etareo'!$B$2:$B$25,,-1)</f>
        <v>&lt;=17</v>
      </c>
      <c r="S426" s="3" t="s">
        <v>22</v>
      </c>
      <c r="T426" s="3" t="str">
        <f>IF(crimenes_cordoba_ampliado[[#This Row],[Género Víctima]]="Masculino","🚹","🚺")</f>
        <v>🚹</v>
      </c>
      <c r="U426">
        <v>2</v>
      </c>
      <c r="V426" s="3" t="s">
        <v>23</v>
      </c>
      <c r="W426" s="3" t="s">
        <v>24</v>
      </c>
      <c r="X426" s="3" t="s">
        <v>24</v>
      </c>
      <c r="Y426" s="3" t="s">
        <v>106</v>
      </c>
      <c r="Z426" s="3" t="s">
        <v>25</v>
      </c>
      <c r="AA426" s="3" t="s">
        <v>25</v>
      </c>
      <c r="AB426" s="3" t="str">
        <f>IF(crimenes_cordoba_ampliado[[#This Row],[Hubo Arresto]]="Sí", "Resuelto", "Pendiente")</f>
        <v>Resuelto</v>
      </c>
      <c r="AC426" s="3" t="s">
        <v>234</v>
      </c>
      <c r="AD426" s="3"/>
    </row>
    <row r="427" spans="1:30" x14ac:dyDescent="0.25">
      <c r="A427">
        <v>424</v>
      </c>
      <c r="B427" s="1">
        <v>45446</v>
      </c>
      <c r="C427" s="33">
        <f t="shared" si="12"/>
        <v>45446</v>
      </c>
      <c r="D427" s="34">
        <f t="shared" si="13"/>
        <v>45446</v>
      </c>
      <c r="E427" s="35" t="s">
        <v>1452</v>
      </c>
      <c r="F427" s="2">
        <v>0.8125</v>
      </c>
      <c r="G427" s="3" t="s">
        <v>31</v>
      </c>
      <c r="H427" s="3" t="s">
        <v>40</v>
      </c>
      <c r="I427" s="25" t="str">
        <f>VLOOKUP(H427,Tabla5[#All],4,FALSE)</f>
        <v>-31,334500143441, -64,2460773260564</v>
      </c>
      <c r="J427" s="1">
        <v>34740</v>
      </c>
      <c r="K427" s="7">
        <f>INT((crimenes_cordoba_ampliado[[#This Row],[Fecha]]-crimenes_cordoba_ampliado[[#This Row],[Fecha Nac. Delincuente]])/365)</f>
        <v>29</v>
      </c>
      <c r="L427" s="7" t="str">
        <f>_xlfn.XLOOKUP(crimenes_cordoba_ampliado[[#This Row],[EDAD DELINCUENTE]],'Rango etareo'!$A$10:$A$25,'Rango etareo'!$B$10:$B$25,,-1)</f>
        <v>26 - 35</v>
      </c>
      <c r="M427" s="3" t="s">
        <v>21</v>
      </c>
      <c r="N427" s="3" t="str">
        <f>IF(crimenes_cordoba_ampliado[[#This Row],[Género Delincuente]]="Femenino","🚺","🚹")</f>
        <v>🚺</v>
      </c>
      <c r="O427">
        <v>3</v>
      </c>
      <c r="P427" s="1">
        <v>30507</v>
      </c>
      <c r="Q427" s="7">
        <f>INT((crimenes_cordoba_ampliado[[#This Row],[Fecha]]-crimenes_cordoba_ampliado[[#This Row],[Fecha Nac. Víctima]])/365)</f>
        <v>40</v>
      </c>
      <c r="R427" s="7" t="str">
        <f>_xlfn.XLOOKUP(crimenes_cordoba_ampliado[[#This Row],[EDAD VICTIMA]],'Rango etareo'!$A$2:$A$25,'Rango etareo'!$B$2:$B$25,,-1)</f>
        <v>36 - 45</v>
      </c>
      <c r="S427" s="3" t="s">
        <v>22</v>
      </c>
      <c r="T427" s="3" t="str">
        <f>IF(crimenes_cordoba_ampliado[[#This Row],[Género Víctima]]="Masculino","🚹","🚺")</f>
        <v>🚹</v>
      </c>
      <c r="U427">
        <v>3</v>
      </c>
      <c r="V427" s="3" t="s">
        <v>23</v>
      </c>
      <c r="W427" s="3" t="s">
        <v>83</v>
      </c>
      <c r="X427" s="3" t="s">
        <v>50</v>
      </c>
      <c r="Y427" s="3" t="s">
        <v>24</v>
      </c>
      <c r="Z427" s="3" t="s">
        <v>25</v>
      </c>
      <c r="AA427" s="3" t="s">
        <v>23</v>
      </c>
      <c r="AB427" s="3" t="str">
        <f>IF(crimenes_cordoba_ampliado[[#This Row],[Hubo Arresto]]="Sí", "Resuelto", "Pendiente")</f>
        <v>Resuelto</v>
      </c>
      <c r="AC427" s="3" t="s">
        <v>168</v>
      </c>
      <c r="AD427" s="3"/>
    </row>
    <row r="428" spans="1:30" x14ac:dyDescent="0.25">
      <c r="A428">
        <v>900</v>
      </c>
      <c r="B428" s="1">
        <v>43675</v>
      </c>
      <c r="C428" s="33">
        <f t="shared" si="12"/>
        <v>43675</v>
      </c>
      <c r="D428" s="34">
        <f t="shared" si="13"/>
        <v>43675</v>
      </c>
      <c r="E428" s="35" t="s">
        <v>1452</v>
      </c>
      <c r="F428" s="2">
        <v>0.79166666666666663</v>
      </c>
      <c r="G428" s="3" t="s">
        <v>35</v>
      </c>
      <c r="H428" s="3" t="s">
        <v>70</v>
      </c>
      <c r="I428" s="25" t="str">
        <f>VLOOKUP(H428,Tabla5[#All],4,FALSE)</f>
        <v>-31,3759272890294, -64,2284587792478</v>
      </c>
      <c r="J428" s="1">
        <v>33190</v>
      </c>
      <c r="K428" s="7">
        <f>INT((crimenes_cordoba_ampliado[[#This Row],[Fecha]]-crimenes_cordoba_ampliado[[#This Row],[Fecha Nac. Delincuente]])/365)</f>
        <v>28</v>
      </c>
      <c r="L428" s="7" t="str">
        <f>_xlfn.XLOOKUP(crimenes_cordoba_ampliado[[#This Row],[EDAD DELINCUENTE]],'Rango etareo'!$A$10:$A$25,'Rango etareo'!$B$10:$B$25,,-1)</f>
        <v>26 - 35</v>
      </c>
      <c r="M428" s="3" t="s">
        <v>22</v>
      </c>
      <c r="N428" s="3" t="str">
        <f>IF(crimenes_cordoba_ampliado[[#This Row],[Género Delincuente]]="Femenino","🚺","🚹")</f>
        <v>🚹</v>
      </c>
      <c r="O428">
        <v>2</v>
      </c>
      <c r="P428" s="1">
        <v>39790</v>
      </c>
      <c r="Q428" s="7">
        <f>INT((crimenes_cordoba_ampliado[[#This Row],[Fecha]]-crimenes_cordoba_ampliado[[#This Row],[Fecha Nac. Víctima]])/365)</f>
        <v>10</v>
      </c>
      <c r="R428" s="7" t="str">
        <f>_xlfn.XLOOKUP(crimenes_cordoba_ampliado[[#This Row],[EDAD VICTIMA]],'Rango etareo'!$A$2:$A$25,'Rango etareo'!$B$2:$B$25,,-1)</f>
        <v>&lt;=17</v>
      </c>
      <c r="S428" s="3" t="s">
        <v>21</v>
      </c>
      <c r="T428" s="3" t="str">
        <f>IF(crimenes_cordoba_ampliado[[#This Row],[Género Víctima]]="Masculino","🚹","🚺")</f>
        <v>🚺</v>
      </c>
      <c r="U428">
        <v>3</v>
      </c>
      <c r="V428" s="3" t="s">
        <v>25</v>
      </c>
      <c r="W428" s="3" t="s">
        <v>24</v>
      </c>
      <c r="X428" s="3" t="s">
        <v>24</v>
      </c>
      <c r="Y428" s="3" t="s">
        <v>113</v>
      </c>
      <c r="Z428" s="3" t="s">
        <v>25</v>
      </c>
      <c r="AA428" s="3" t="s">
        <v>25</v>
      </c>
      <c r="AB428" s="3" t="str">
        <f>IF(crimenes_cordoba_ampliado[[#This Row],[Hubo Arresto]]="Sí", "Resuelto", "Pendiente")</f>
        <v>Pendiente</v>
      </c>
      <c r="AC428" s="3" t="s">
        <v>24</v>
      </c>
      <c r="AD428" s="3"/>
    </row>
    <row r="429" spans="1:30" x14ac:dyDescent="0.25">
      <c r="A429">
        <v>426</v>
      </c>
      <c r="B429" s="1">
        <v>44653</v>
      </c>
      <c r="C429" s="33">
        <f t="shared" si="12"/>
        <v>44653</v>
      </c>
      <c r="D429" s="34">
        <f t="shared" si="13"/>
        <v>44653</v>
      </c>
      <c r="E429" s="35" t="s">
        <v>1451</v>
      </c>
      <c r="F429" s="2">
        <v>0.34722222222222221</v>
      </c>
      <c r="G429" s="3" t="s">
        <v>81</v>
      </c>
      <c r="H429" s="3" t="s">
        <v>49</v>
      </c>
      <c r="I429" s="25" t="str">
        <f>VLOOKUP(H429,Tabla5[#All],4,FALSE)</f>
        <v>-31,4506257494184, -64,1733054344705</v>
      </c>
      <c r="J429" s="1">
        <v>25595</v>
      </c>
      <c r="K429" s="7">
        <f>INT((crimenes_cordoba_ampliado[[#This Row],[Fecha]]-crimenes_cordoba_ampliado[[#This Row],[Fecha Nac. Delincuente]])/365)</f>
        <v>52</v>
      </c>
      <c r="L429" s="7" t="str">
        <f>_xlfn.XLOOKUP(crimenes_cordoba_ampliado[[#This Row],[EDAD DELINCUENTE]],'Rango etareo'!$A$10:$A$25,'Rango etareo'!$B$10:$B$25,,-1)</f>
        <v>46 - 55</v>
      </c>
      <c r="M429" s="3" t="s">
        <v>22</v>
      </c>
      <c r="N429" s="3" t="str">
        <f>IF(crimenes_cordoba_ampliado[[#This Row],[Género Delincuente]]="Femenino","🚺","🚹")</f>
        <v>🚹</v>
      </c>
      <c r="O429">
        <v>5</v>
      </c>
      <c r="P429" s="1">
        <v>21090</v>
      </c>
      <c r="Q429" s="7">
        <f>INT((crimenes_cordoba_ampliado[[#This Row],[Fecha]]-crimenes_cordoba_ampliado[[#This Row],[Fecha Nac. Víctima]])/365)</f>
        <v>64</v>
      </c>
      <c r="R429" s="7" t="str">
        <f>_xlfn.XLOOKUP(crimenes_cordoba_ampliado[[#This Row],[EDAD VICTIMA]],'Rango etareo'!$A$2:$A$25,'Rango etareo'!$B$2:$B$25,,-1)</f>
        <v>56 - 65</v>
      </c>
      <c r="S429" s="3" t="s">
        <v>22</v>
      </c>
      <c r="T429" s="3" t="str">
        <f>IF(crimenes_cordoba_ampliado[[#This Row],[Género Víctima]]="Masculino","🚹","🚺")</f>
        <v>🚹</v>
      </c>
      <c r="U429">
        <v>1</v>
      </c>
      <c r="V429" s="3" t="s">
        <v>23</v>
      </c>
      <c r="W429" s="3" t="s">
        <v>24</v>
      </c>
      <c r="X429" s="3" t="s">
        <v>24</v>
      </c>
      <c r="Y429" s="3" t="s">
        <v>53</v>
      </c>
      <c r="Z429" s="3" t="s">
        <v>23</v>
      </c>
      <c r="AA429" s="3" t="s">
        <v>25</v>
      </c>
      <c r="AB429" s="3" t="str">
        <f>IF(crimenes_cordoba_ampliado[[#This Row],[Hubo Arresto]]="Sí", "Resuelto", "Pendiente")</f>
        <v>Resuelto</v>
      </c>
      <c r="AC429" s="3" t="s">
        <v>235</v>
      </c>
      <c r="AD429" s="3"/>
    </row>
    <row r="430" spans="1:30" x14ac:dyDescent="0.25">
      <c r="A430">
        <v>427</v>
      </c>
      <c r="B430" s="1">
        <v>45264</v>
      </c>
      <c r="C430" s="33">
        <f t="shared" si="12"/>
        <v>45264</v>
      </c>
      <c r="D430" s="34">
        <f t="shared" si="13"/>
        <v>45264</v>
      </c>
      <c r="E430" s="35" t="s">
        <v>1452</v>
      </c>
      <c r="F430" s="2">
        <v>0.87361111111111112</v>
      </c>
      <c r="G430" s="3" t="s">
        <v>45</v>
      </c>
      <c r="H430" s="3" t="s">
        <v>58</v>
      </c>
      <c r="I430" s="25" t="str">
        <f>VLOOKUP(H430,Tabla5[#All],4,FALSE)</f>
        <v>-31,423018915313, -64,1493562190664</v>
      </c>
      <c r="J430" s="1">
        <v>33076</v>
      </c>
      <c r="K430" s="7">
        <f>INT((crimenes_cordoba_ampliado[[#This Row],[Fecha]]-crimenes_cordoba_ampliado[[#This Row],[Fecha Nac. Delincuente]])/365)</f>
        <v>33</v>
      </c>
      <c r="L430" s="7" t="str">
        <f>_xlfn.XLOOKUP(crimenes_cordoba_ampliado[[#This Row],[EDAD DELINCUENTE]],'Rango etareo'!$A$10:$A$25,'Rango etareo'!$B$10:$B$25,,-1)</f>
        <v>26 - 35</v>
      </c>
      <c r="M430" s="3" t="s">
        <v>22</v>
      </c>
      <c r="N430" s="3" t="str">
        <f>IF(crimenes_cordoba_ampliado[[#This Row],[Género Delincuente]]="Femenino","🚺","🚹")</f>
        <v>🚹</v>
      </c>
      <c r="O430">
        <v>5</v>
      </c>
      <c r="P430" s="1">
        <v>24428</v>
      </c>
      <c r="Q430" s="7">
        <f>INT((crimenes_cordoba_ampliado[[#This Row],[Fecha]]-crimenes_cordoba_ampliado[[#This Row],[Fecha Nac. Víctima]])/365)</f>
        <v>57</v>
      </c>
      <c r="R430" s="7" t="str">
        <f>_xlfn.XLOOKUP(crimenes_cordoba_ampliado[[#This Row],[EDAD VICTIMA]],'Rango etareo'!$A$2:$A$25,'Rango etareo'!$B$2:$B$25,,-1)</f>
        <v>56 - 65</v>
      </c>
      <c r="S430" s="3" t="s">
        <v>21</v>
      </c>
      <c r="T430" s="3" t="str">
        <f>IF(crimenes_cordoba_ampliado[[#This Row],[Género Víctima]]="Masculino","🚹","🚺")</f>
        <v>🚺</v>
      </c>
      <c r="U430">
        <v>1</v>
      </c>
      <c r="V430" s="3" t="s">
        <v>23</v>
      </c>
      <c r="W430" s="3" t="s">
        <v>24</v>
      </c>
      <c r="X430" s="3" t="s">
        <v>24</v>
      </c>
      <c r="Y430" s="3" t="s">
        <v>24</v>
      </c>
      <c r="Z430" s="3" t="s">
        <v>25</v>
      </c>
      <c r="AA430" s="3" t="s">
        <v>25</v>
      </c>
      <c r="AB430" s="3" t="str">
        <f>IF(crimenes_cordoba_ampliado[[#This Row],[Hubo Arresto]]="Sí", "Resuelto", "Pendiente")</f>
        <v>Resuelto</v>
      </c>
      <c r="AC430" s="3" t="s">
        <v>236</v>
      </c>
      <c r="AD430" s="3"/>
    </row>
    <row r="431" spans="1:30" x14ac:dyDescent="0.25">
      <c r="A431">
        <v>431</v>
      </c>
      <c r="B431" s="1">
        <v>43634</v>
      </c>
      <c r="C431" s="33">
        <f t="shared" si="12"/>
        <v>43634</v>
      </c>
      <c r="D431" s="34">
        <f t="shared" si="13"/>
        <v>43634</v>
      </c>
      <c r="E431" s="35" t="s">
        <v>1453</v>
      </c>
      <c r="F431" s="2">
        <v>0.78055555555555556</v>
      </c>
      <c r="G431" s="3" t="s">
        <v>27</v>
      </c>
      <c r="H431" s="3" t="s">
        <v>55</v>
      </c>
      <c r="I431" s="25" t="str">
        <f>VLOOKUP(H431,Tabla5[#All],4,FALSE)</f>
        <v>-31,4015892433235, -64,160442876477</v>
      </c>
      <c r="J431" s="1">
        <v>22229</v>
      </c>
      <c r="K431" s="7">
        <f>INT((crimenes_cordoba_ampliado[[#This Row],[Fecha]]-crimenes_cordoba_ampliado[[#This Row],[Fecha Nac. Delincuente]])/365)</f>
        <v>58</v>
      </c>
      <c r="L431" s="7" t="str">
        <f>_xlfn.XLOOKUP(crimenes_cordoba_ampliado[[#This Row],[EDAD DELINCUENTE]],'Rango etareo'!$A$10:$A$25,'Rango etareo'!$B$10:$B$25,,-1)</f>
        <v>56 - 65</v>
      </c>
      <c r="M431" s="3" t="s">
        <v>22</v>
      </c>
      <c r="N431" s="3" t="str">
        <f>IF(crimenes_cordoba_ampliado[[#This Row],[Género Delincuente]]="Femenino","🚺","🚹")</f>
        <v>🚹</v>
      </c>
      <c r="O431">
        <v>5</v>
      </c>
      <c r="P431" s="1">
        <v>22251</v>
      </c>
      <c r="Q431" s="7">
        <f>INT((crimenes_cordoba_ampliado[[#This Row],[Fecha]]-crimenes_cordoba_ampliado[[#This Row],[Fecha Nac. Víctima]])/365)</f>
        <v>58</v>
      </c>
      <c r="R431" s="7" t="str">
        <f>_xlfn.XLOOKUP(crimenes_cordoba_ampliado[[#This Row],[EDAD VICTIMA]],'Rango etareo'!$A$2:$A$25,'Rango etareo'!$B$2:$B$25,,-1)</f>
        <v>56 - 65</v>
      </c>
      <c r="S431" s="3" t="s">
        <v>22</v>
      </c>
      <c r="T431" s="3" t="str">
        <f>IF(crimenes_cordoba_ampliado[[#This Row],[Género Víctima]]="Masculino","🚹","🚺")</f>
        <v>🚹</v>
      </c>
      <c r="U431">
        <v>1</v>
      </c>
      <c r="V431" s="3" t="s">
        <v>23</v>
      </c>
      <c r="W431" s="3" t="s">
        <v>24</v>
      </c>
      <c r="X431" s="3" t="s">
        <v>24</v>
      </c>
      <c r="Y431" s="3" t="s">
        <v>46</v>
      </c>
      <c r="Z431" s="3" t="s">
        <v>25</v>
      </c>
      <c r="AA431" s="3" t="s">
        <v>23</v>
      </c>
      <c r="AB431" s="3" t="str">
        <f>IF(crimenes_cordoba_ampliado[[#This Row],[Hubo Arresto]]="Sí", "Resuelto", "Pendiente")</f>
        <v>Resuelto</v>
      </c>
      <c r="AC431" s="3" t="s">
        <v>237</v>
      </c>
      <c r="AD431" s="3"/>
    </row>
    <row r="432" spans="1:30" x14ac:dyDescent="0.25">
      <c r="A432">
        <v>791</v>
      </c>
      <c r="B432" s="1">
        <v>43684</v>
      </c>
      <c r="C432" s="33">
        <f t="shared" si="12"/>
        <v>43684</v>
      </c>
      <c r="D432" s="34">
        <f t="shared" si="13"/>
        <v>43684</v>
      </c>
      <c r="E432" s="35" t="s">
        <v>1450</v>
      </c>
      <c r="F432" s="2">
        <v>0.44513888888888886</v>
      </c>
      <c r="G432" s="3" t="s">
        <v>35</v>
      </c>
      <c r="H432" s="3" t="s">
        <v>65</v>
      </c>
      <c r="I432" s="25" t="str">
        <f>VLOOKUP(H432,Tabla5[#All],4,FALSE)</f>
        <v>-31,4285567311661, -64,1853198281007</v>
      </c>
      <c r="J432" s="1">
        <v>29291</v>
      </c>
      <c r="K432" s="7">
        <f>INT((crimenes_cordoba_ampliado[[#This Row],[Fecha]]-crimenes_cordoba_ampliado[[#This Row],[Fecha Nac. Delincuente]])/365)</f>
        <v>39</v>
      </c>
      <c r="L432" s="7" t="str">
        <f>_xlfn.XLOOKUP(crimenes_cordoba_ampliado[[#This Row],[EDAD DELINCUENTE]],'Rango etareo'!$A$10:$A$25,'Rango etareo'!$B$10:$B$25,,-1)</f>
        <v>36 - 45</v>
      </c>
      <c r="M432" s="3" t="s">
        <v>22</v>
      </c>
      <c r="N432" s="3" t="str">
        <f>IF(crimenes_cordoba_ampliado[[#This Row],[Género Delincuente]]="Femenino","🚺","🚹")</f>
        <v>🚹</v>
      </c>
      <c r="O432">
        <v>5</v>
      </c>
      <c r="P432" s="1">
        <v>25768</v>
      </c>
      <c r="Q432" s="7">
        <f>INT((crimenes_cordoba_ampliado[[#This Row],[Fecha]]-crimenes_cordoba_ampliado[[#This Row],[Fecha Nac. Víctima]])/365)</f>
        <v>49</v>
      </c>
      <c r="R432" s="7" t="str">
        <f>_xlfn.XLOOKUP(crimenes_cordoba_ampliado[[#This Row],[EDAD VICTIMA]],'Rango etareo'!$A$2:$A$25,'Rango etareo'!$B$2:$B$25,,-1)</f>
        <v>46 - 55</v>
      </c>
      <c r="S432" s="3" t="s">
        <v>21</v>
      </c>
      <c r="T432" s="3" t="str">
        <f>IF(crimenes_cordoba_ampliado[[#This Row],[Género Víctima]]="Masculino","🚹","🚺")</f>
        <v>🚺</v>
      </c>
      <c r="U432">
        <v>3</v>
      </c>
      <c r="V432" s="3" t="s">
        <v>25</v>
      </c>
      <c r="W432" s="3" t="s">
        <v>24</v>
      </c>
      <c r="X432" s="3" t="s">
        <v>24</v>
      </c>
      <c r="Y432" s="3" t="s">
        <v>106</v>
      </c>
      <c r="Z432" s="3" t="s">
        <v>25</v>
      </c>
      <c r="AA432" s="3" t="s">
        <v>23</v>
      </c>
      <c r="AB432" s="3" t="str">
        <f>IF(crimenes_cordoba_ampliado[[#This Row],[Hubo Arresto]]="Sí", "Resuelto", "Pendiente")</f>
        <v>Pendiente</v>
      </c>
      <c r="AC432" s="3" t="s">
        <v>24</v>
      </c>
      <c r="AD432" s="3"/>
    </row>
    <row r="433" spans="1:30" x14ac:dyDescent="0.25">
      <c r="A433">
        <v>432</v>
      </c>
      <c r="B433" s="1">
        <v>43510</v>
      </c>
      <c r="C433" s="33">
        <f t="shared" si="12"/>
        <v>43510</v>
      </c>
      <c r="D433" s="34">
        <f t="shared" si="13"/>
        <v>43510</v>
      </c>
      <c r="E433" s="35" t="s">
        <v>1454</v>
      </c>
      <c r="F433" s="2">
        <v>0.74930555555555556</v>
      </c>
      <c r="G433" s="3" t="s">
        <v>31</v>
      </c>
      <c r="H433" s="3" t="s">
        <v>58</v>
      </c>
      <c r="I433" s="25" t="str">
        <f>VLOOKUP(H433,Tabla5[#All],4,FALSE)</f>
        <v>-31,423018915313, -64,1493562190664</v>
      </c>
      <c r="J433" s="1">
        <v>38547</v>
      </c>
      <c r="K433" s="7">
        <f>INT((crimenes_cordoba_ampliado[[#This Row],[Fecha]]-crimenes_cordoba_ampliado[[#This Row],[Fecha Nac. Delincuente]])/365)</f>
        <v>13</v>
      </c>
      <c r="L433" s="7" t="str">
        <f>_xlfn.XLOOKUP(crimenes_cordoba_ampliado[[#This Row],[EDAD DELINCUENTE]],'Rango etareo'!$A$10:$A$25,'Rango etareo'!$B$10:$B$25,,-1)</f>
        <v>&lt;=17</v>
      </c>
      <c r="M433" s="3" t="s">
        <v>21</v>
      </c>
      <c r="N433" s="3" t="str">
        <f>IF(crimenes_cordoba_ampliado[[#This Row],[Género Delincuente]]="Femenino","🚺","🚹")</f>
        <v>🚺</v>
      </c>
      <c r="O433">
        <v>5</v>
      </c>
      <c r="P433" s="1">
        <v>41736</v>
      </c>
      <c r="Q433" s="7">
        <f>INT((crimenes_cordoba_ampliado[[#This Row],[Fecha]]-crimenes_cordoba_ampliado[[#This Row],[Fecha Nac. Víctima]])/365)</f>
        <v>4</v>
      </c>
      <c r="R433" s="7" t="str">
        <f>_xlfn.XLOOKUP(crimenes_cordoba_ampliado[[#This Row],[EDAD VICTIMA]],'Rango etareo'!$A$2:$A$25,'Rango etareo'!$B$2:$B$25,,-1)</f>
        <v>&lt;=17</v>
      </c>
      <c r="S433" s="3" t="s">
        <v>21</v>
      </c>
      <c r="T433" s="3" t="str">
        <f>IF(crimenes_cordoba_ampliado[[#This Row],[Género Víctima]]="Masculino","🚹","🚺")</f>
        <v>🚺</v>
      </c>
      <c r="U433">
        <v>2</v>
      </c>
      <c r="V433" s="3" t="s">
        <v>23</v>
      </c>
      <c r="W433" s="3" t="s">
        <v>24</v>
      </c>
      <c r="X433" s="3" t="s">
        <v>24</v>
      </c>
      <c r="Y433" s="3" t="s">
        <v>43</v>
      </c>
      <c r="Z433" s="3" t="s">
        <v>25</v>
      </c>
      <c r="AA433" s="3" t="s">
        <v>23</v>
      </c>
      <c r="AB433" s="3" t="str">
        <f>IF(crimenes_cordoba_ampliado[[#This Row],[Hubo Arresto]]="Sí", "Resuelto", "Pendiente")</f>
        <v>Resuelto</v>
      </c>
      <c r="AC433" s="3" t="s">
        <v>238</v>
      </c>
      <c r="AD433" s="3"/>
    </row>
    <row r="434" spans="1:30" x14ac:dyDescent="0.25">
      <c r="A434">
        <v>434</v>
      </c>
      <c r="B434" s="1">
        <v>45264</v>
      </c>
      <c r="C434" s="33">
        <f t="shared" si="12"/>
        <v>45264</v>
      </c>
      <c r="D434" s="34">
        <f t="shared" si="13"/>
        <v>45264</v>
      </c>
      <c r="E434" s="35" t="s">
        <v>1452</v>
      </c>
      <c r="F434" s="2">
        <v>0.50902777777777775</v>
      </c>
      <c r="G434" s="3" t="s">
        <v>54</v>
      </c>
      <c r="H434" s="3" t="s">
        <v>32</v>
      </c>
      <c r="I434" s="25" t="str">
        <f>VLOOKUP(H434,Tabla5[#All],4,FALSE)</f>
        <v>-31,4148488101991, -64,1793406489438</v>
      </c>
      <c r="J434" s="1">
        <v>24132</v>
      </c>
      <c r="K434" s="7">
        <f>INT((crimenes_cordoba_ampliado[[#This Row],[Fecha]]-crimenes_cordoba_ampliado[[#This Row],[Fecha Nac. Delincuente]])/365)</f>
        <v>57</v>
      </c>
      <c r="L434" s="7" t="str">
        <f>_xlfn.XLOOKUP(crimenes_cordoba_ampliado[[#This Row],[EDAD DELINCUENTE]],'Rango etareo'!$A$10:$A$25,'Rango etareo'!$B$10:$B$25,,-1)</f>
        <v>56 - 65</v>
      </c>
      <c r="M434" s="3" t="s">
        <v>21</v>
      </c>
      <c r="N434" s="3" t="str">
        <f>IF(crimenes_cordoba_ampliado[[#This Row],[Género Delincuente]]="Femenino","🚺","🚹")</f>
        <v>🚺</v>
      </c>
      <c r="O434">
        <v>4</v>
      </c>
      <c r="P434" s="1">
        <v>28665</v>
      </c>
      <c r="Q434" s="7">
        <f>INT((crimenes_cordoba_ampliado[[#This Row],[Fecha]]-crimenes_cordoba_ampliado[[#This Row],[Fecha Nac. Víctima]])/365)</f>
        <v>45</v>
      </c>
      <c r="R434" s="7" t="str">
        <f>_xlfn.XLOOKUP(crimenes_cordoba_ampliado[[#This Row],[EDAD VICTIMA]],'Rango etareo'!$A$2:$A$25,'Rango etareo'!$B$2:$B$25,,-1)</f>
        <v>36 - 45</v>
      </c>
      <c r="S434" s="3" t="s">
        <v>21</v>
      </c>
      <c r="T434" s="3" t="str">
        <f>IF(crimenes_cordoba_ampliado[[#This Row],[Género Víctima]]="Masculino","🚹","🚺")</f>
        <v>🚺</v>
      </c>
      <c r="U434">
        <v>3</v>
      </c>
      <c r="V434" s="3" t="s">
        <v>23</v>
      </c>
      <c r="W434" s="3" t="s">
        <v>24</v>
      </c>
      <c r="X434" s="3" t="s">
        <v>24</v>
      </c>
      <c r="Y434" s="3" t="s">
        <v>89</v>
      </c>
      <c r="Z434" s="3" t="s">
        <v>23</v>
      </c>
      <c r="AA434" s="3" t="s">
        <v>25</v>
      </c>
      <c r="AB434" s="3" t="str">
        <f>IF(crimenes_cordoba_ampliado[[#This Row],[Hubo Arresto]]="Sí", "Resuelto", "Pendiente")</f>
        <v>Resuelto</v>
      </c>
      <c r="AC434" s="3" t="s">
        <v>239</v>
      </c>
      <c r="AD434" s="3"/>
    </row>
    <row r="435" spans="1:30" x14ac:dyDescent="0.25">
      <c r="A435">
        <v>435</v>
      </c>
      <c r="B435" s="1">
        <v>45323</v>
      </c>
      <c r="C435" s="33">
        <f t="shared" si="12"/>
        <v>45323</v>
      </c>
      <c r="D435" s="34">
        <f t="shared" si="13"/>
        <v>45323</v>
      </c>
      <c r="E435" s="35" t="s">
        <v>1454</v>
      </c>
      <c r="F435" s="2">
        <v>0.8930555555555556</v>
      </c>
      <c r="G435" s="3" t="s">
        <v>79</v>
      </c>
      <c r="H435" s="3" t="s">
        <v>52</v>
      </c>
      <c r="I435" s="25" t="str">
        <f>VLOOKUP(H435,Tabla5[#All],4,FALSE)</f>
        <v>-31,3477902896523, -64,2644406169297</v>
      </c>
      <c r="J435" s="1">
        <v>19691</v>
      </c>
      <c r="K435" s="7">
        <f>INT((crimenes_cordoba_ampliado[[#This Row],[Fecha]]-crimenes_cordoba_ampliado[[#This Row],[Fecha Nac. Delincuente]])/365)</f>
        <v>70</v>
      </c>
      <c r="L435" s="7" t="str">
        <f>_xlfn.XLOOKUP(crimenes_cordoba_ampliado[[#This Row],[EDAD DELINCUENTE]],'Rango etareo'!$A$10:$A$25,'Rango etareo'!$B$10:$B$25,,-1)</f>
        <v>&gt;65</v>
      </c>
      <c r="M435" s="3" t="s">
        <v>22</v>
      </c>
      <c r="N435" s="3" t="str">
        <f>IF(crimenes_cordoba_ampliado[[#This Row],[Género Delincuente]]="Femenino","🚺","🚹")</f>
        <v>🚹</v>
      </c>
      <c r="O435">
        <v>3</v>
      </c>
      <c r="P435" s="1">
        <v>40174</v>
      </c>
      <c r="Q435" s="7">
        <f>INT((crimenes_cordoba_ampliado[[#This Row],[Fecha]]-crimenes_cordoba_ampliado[[#This Row],[Fecha Nac. Víctima]])/365)</f>
        <v>14</v>
      </c>
      <c r="R435" s="7" t="str">
        <f>_xlfn.XLOOKUP(crimenes_cordoba_ampliado[[#This Row],[EDAD VICTIMA]],'Rango etareo'!$A$2:$A$25,'Rango etareo'!$B$2:$B$25,,-1)</f>
        <v>&lt;=17</v>
      </c>
      <c r="S435" s="3" t="s">
        <v>22</v>
      </c>
      <c r="T435" s="3" t="str">
        <f>IF(crimenes_cordoba_ampliado[[#This Row],[Género Víctima]]="Masculino","🚹","🚺")</f>
        <v>🚹</v>
      </c>
      <c r="U435">
        <v>3</v>
      </c>
      <c r="V435" s="3" t="s">
        <v>23</v>
      </c>
      <c r="W435" s="3" t="s">
        <v>24</v>
      </c>
      <c r="X435" s="3" t="s">
        <v>24</v>
      </c>
      <c r="Y435" s="3" t="s">
        <v>80</v>
      </c>
      <c r="Z435" s="3" t="s">
        <v>25</v>
      </c>
      <c r="AA435" s="3" t="s">
        <v>25</v>
      </c>
      <c r="AB435" s="3" t="str">
        <f>IF(crimenes_cordoba_ampliado[[#This Row],[Hubo Arresto]]="Sí", "Resuelto", "Pendiente")</f>
        <v>Resuelto</v>
      </c>
      <c r="AC435" s="3" t="s">
        <v>216</v>
      </c>
      <c r="AD435" s="3"/>
    </row>
    <row r="436" spans="1:30" x14ac:dyDescent="0.25">
      <c r="A436">
        <v>437</v>
      </c>
      <c r="B436" s="1">
        <v>42430</v>
      </c>
      <c r="C436" s="33">
        <f t="shared" si="12"/>
        <v>42430</v>
      </c>
      <c r="D436" s="34">
        <f t="shared" si="13"/>
        <v>42430</v>
      </c>
      <c r="E436" s="35" t="s">
        <v>1453</v>
      </c>
      <c r="F436" s="2">
        <v>0.97986111111111107</v>
      </c>
      <c r="G436" s="3" t="s">
        <v>35</v>
      </c>
      <c r="H436" s="3" t="s">
        <v>62</v>
      </c>
      <c r="I436" s="25" t="str">
        <f>VLOOKUP(H436,Tabla5[#All],4,FALSE)</f>
        <v>-31,3909520937826, -64,1836424491715</v>
      </c>
      <c r="J436" s="1">
        <v>37055</v>
      </c>
      <c r="K436" s="7">
        <f>INT((crimenes_cordoba_ampliado[[#This Row],[Fecha]]-crimenes_cordoba_ampliado[[#This Row],[Fecha Nac. Delincuente]])/365)</f>
        <v>14</v>
      </c>
      <c r="L436" s="7" t="str">
        <f>_xlfn.XLOOKUP(crimenes_cordoba_ampliado[[#This Row],[EDAD DELINCUENTE]],'Rango etareo'!$A$10:$A$25,'Rango etareo'!$B$10:$B$25,,-1)</f>
        <v>&lt;=17</v>
      </c>
      <c r="M436" s="3" t="s">
        <v>21</v>
      </c>
      <c r="N436" s="3" t="str">
        <f>IF(crimenes_cordoba_ampliado[[#This Row],[Género Delincuente]]="Femenino","🚺","🚹")</f>
        <v>🚺</v>
      </c>
      <c r="O436">
        <v>2</v>
      </c>
      <c r="P436" s="1">
        <v>21592</v>
      </c>
      <c r="Q436" s="7">
        <f>INT((crimenes_cordoba_ampliado[[#This Row],[Fecha]]-crimenes_cordoba_ampliado[[#This Row],[Fecha Nac. Víctima]])/365)</f>
        <v>57</v>
      </c>
      <c r="R436" s="7" t="str">
        <f>_xlfn.XLOOKUP(crimenes_cordoba_ampliado[[#This Row],[EDAD VICTIMA]],'Rango etareo'!$A$2:$A$25,'Rango etareo'!$B$2:$B$25,,-1)</f>
        <v>56 - 65</v>
      </c>
      <c r="S436" s="3" t="s">
        <v>22</v>
      </c>
      <c r="T436" s="3" t="str">
        <f>IF(crimenes_cordoba_ampliado[[#This Row],[Género Víctima]]="Masculino","🚹","🚺")</f>
        <v>🚹</v>
      </c>
      <c r="U436">
        <v>1</v>
      </c>
      <c r="V436" s="3" t="s">
        <v>23</v>
      </c>
      <c r="W436" s="3" t="s">
        <v>63</v>
      </c>
      <c r="X436" s="3" t="s">
        <v>24</v>
      </c>
      <c r="Y436" s="3" t="s">
        <v>64</v>
      </c>
      <c r="Z436" s="3" t="s">
        <v>23</v>
      </c>
      <c r="AA436" s="3" t="s">
        <v>25</v>
      </c>
      <c r="AB436" s="3" t="str">
        <f>IF(crimenes_cordoba_ampliado[[#This Row],[Hubo Arresto]]="Sí", "Resuelto", "Pendiente")</f>
        <v>Resuelto</v>
      </c>
      <c r="AC436" s="3" t="s">
        <v>233</v>
      </c>
      <c r="AD436" s="3"/>
    </row>
    <row r="437" spans="1:30" x14ac:dyDescent="0.25">
      <c r="A437">
        <v>440</v>
      </c>
      <c r="B437" s="1">
        <v>43062</v>
      </c>
      <c r="C437" s="33">
        <f t="shared" si="12"/>
        <v>43062</v>
      </c>
      <c r="D437" s="34">
        <f t="shared" si="13"/>
        <v>43062</v>
      </c>
      <c r="E437" s="35" t="s">
        <v>1454</v>
      </c>
      <c r="F437" s="2">
        <v>0.78472222222222221</v>
      </c>
      <c r="G437" s="3" t="s">
        <v>79</v>
      </c>
      <c r="H437" s="3" t="s">
        <v>49</v>
      </c>
      <c r="I437" s="25" t="str">
        <f>VLOOKUP(H437,Tabla5[#All],4,FALSE)</f>
        <v>-31,4506257494184, -64,1733054344705</v>
      </c>
      <c r="J437" s="1">
        <v>25852</v>
      </c>
      <c r="K437" s="7">
        <f>INT((crimenes_cordoba_ampliado[[#This Row],[Fecha]]-crimenes_cordoba_ampliado[[#This Row],[Fecha Nac. Delincuente]])/365)</f>
        <v>47</v>
      </c>
      <c r="L437" s="7" t="str">
        <f>_xlfn.XLOOKUP(crimenes_cordoba_ampliado[[#This Row],[EDAD DELINCUENTE]],'Rango etareo'!$A$10:$A$25,'Rango etareo'!$B$10:$B$25,,-1)</f>
        <v>46 - 55</v>
      </c>
      <c r="M437" s="3" t="s">
        <v>22</v>
      </c>
      <c r="N437" s="3" t="str">
        <f>IF(crimenes_cordoba_ampliado[[#This Row],[Género Delincuente]]="Femenino","🚺","🚹")</f>
        <v>🚹</v>
      </c>
      <c r="O437">
        <v>5</v>
      </c>
      <c r="P437" s="1">
        <v>24127</v>
      </c>
      <c r="Q437" s="7">
        <f>INT((crimenes_cordoba_ampliado[[#This Row],[Fecha]]-crimenes_cordoba_ampliado[[#This Row],[Fecha Nac. Víctima]])/365)</f>
        <v>51</v>
      </c>
      <c r="R437" s="7" t="str">
        <f>_xlfn.XLOOKUP(crimenes_cordoba_ampliado[[#This Row],[EDAD VICTIMA]],'Rango etareo'!$A$2:$A$25,'Rango etareo'!$B$2:$B$25,,-1)</f>
        <v>46 - 55</v>
      </c>
      <c r="S437" s="3" t="s">
        <v>21</v>
      </c>
      <c r="T437" s="3" t="str">
        <f>IF(crimenes_cordoba_ampliado[[#This Row],[Género Víctima]]="Masculino","🚹","🚺")</f>
        <v>🚺</v>
      </c>
      <c r="U437">
        <v>1</v>
      </c>
      <c r="V437" s="3" t="s">
        <v>23</v>
      </c>
      <c r="W437" s="3" t="s">
        <v>63</v>
      </c>
      <c r="X437" s="3" t="s">
        <v>67</v>
      </c>
      <c r="Y437" s="3" t="s">
        <v>24</v>
      </c>
      <c r="Z437" s="3" t="s">
        <v>25</v>
      </c>
      <c r="AA437" s="3" t="s">
        <v>25</v>
      </c>
      <c r="AB437" s="3" t="str">
        <f>IF(crimenes_cordoba_ampliado[[#This Row],[Hubo Arresto]]="Sí", "Resuelto", "Pendiente")</f>
        <v>Resuelto</v>
      </c>
      <c r="AC437" s="3" t="s">
        <v>121</v>
      </c>
      <c r="AD437" s="3"/>
    </row>
    <row r="438" spans="1:30" x14ac:dyDescent="0.25">
      <c r="A438">
        <v>442</v>
      </c>
      <c r="B438" s="1">
        <v>44168</v>
      </c>
      <c r="C438" s="33">
        <f t="shared" si="12"/>
        <v>44168</v>
      </c>
      <c r="D438" s="34">
        <f t="shared" si="13"/>
        <v>44168</v>
      </c>
      <c r="E438" s="35" t="s">
        <v>1454</v>
      </c>
      <c r="F438" s="2">
        <v>0.93888888888888888</v>
      </c>
      <c r="G438" s="3" t="s">
        <v>54</v>
      </c>
      <c r="H438" s="3" t="s">
        <v>40</v>
      </c>
      <c r="I438" s="25" t="str">
        <f>VLOOKUP(H438,Tabla5[#All],4,FALSE)</f>
        <v>-31,334500143441, -64,2460773260564</v>
      </c>
      <c r="J438" s="1">
        <v>38109</v>
      </c>
      <c r="K438" s="7">
        <f>INT((crimenes_cordoba_ampliado[[#This Row],[Fecha]]-crimenes_cordoba_ampliado[[#This Row],[Fecha Nac. Delincuente]])/365)</f>
        <v>16</v>
      </c>
      <c r="L438" s="7" t="str">
        <f>_xlfn.XLOOKUP(crimenes_cordoba_ampliado[[#This Row],[EDAD DELINCUENTE]],'Rango etareo'!$A$10:$A$25,'Rango etareo'!$B$10:$B$25,,-1)</f>
        <v>&lt;=17</v>
      </c>
      <c r="M438" s="3" t="s">
        <v>22</v>
      </c>
      <c r="N438" s="3" t="str">
        <f>IF(crimenes_cordoba_ampliado[[#This Row],[Género Delincuente]]="Femenino","🚺","🚹")</f>
        <v>🚹</v>
      </c>
      <c r="O438">
        <v>4</v>
      </c>
      <c r="P438" s="1">
        <v>37763</v>
      </c>
      <c r="Q438" s="7">
        <f>INT((crimenes_cordoba_ampliado[[#This Row],[Fecha]]-crimenes_cordoba_ampliado[[#This Row],[Fecha Nac. Víctima]])/365)</f>
        <v>17</v>
      </c>
      <c r="R438" s="7" t="str">
        <f>_xlfn.XLOOKUP(crimenes_cordoba_ampliado[[#This Row],[EDAD VICTIMA]],'Rango etareo'!$A$2:$A$25,'Rango etareo'!$B$2:$B$25,,-1)</f>
        <v>&lt;=17</v>
      </c>
      <c r="S438" s="3" t="s">
        <v>22</v>
      </c>
      <c r="T438" s="3" t="str">
        <f>IF(crimenes_cordoba_ampliado[[#This Row],[Género Víctima]]="Masculino","🚹","🚺")</f>
        <v>🚹</v>
      </c>
      <c r="U438">
        <v>2</v>
      </c>
      <c r="V438" s="3" t="s">
        <v>23</v>
      </c>
      <c r="W438" s="3" t="s">
        <v>83</v>
      </c>
      <c r="X438" s="3" t="s">
        <v>24</v>
      </c>
      <c r="Y438" s="3" t="s">
        <v>64</v>
      </c>
      <c r="Z438" s="3" t="s">
        <v>25</v>
      </c>
      <c r="AA438" s="3" t="s">
        <v>23</v>
      </c>
      <c r="AB438" s="3" t="str">
        <f>IF(crimenes_cordoba_ampliado[[#This Row],[Hubo Arresto]]="Sí", "Resuelto", "Pendiente")</f>
        <v>Resuelto</v>
      </c>
      <c r="AC438" s="3" t="s">
        <v>240</v>
      </c>
      <c r="AD438" s="3"/>
    </row>
    <row r="439" spans="1:30" x14ac:dyDescent="0.25">
      <c r="A439">
        <v>8</v>
      </c>
      <c r="B439" s="1">
        <v>43697</v>
      </c>
      <c r="C439" s="33">
        <f t="shared" si="12"/>
        <v>43697</v>
      </c>
      <c r="D439" s="34">
        <f t="shared" si="13"/>
        <v>43697</v>
      </c>
      <c r="E439" s="35" t="s">
        <v>1453</v>
      </c>
      <c r="F439" s="2">
        <v>0.50416666666666665</v>
      </c>
      <c r="G439" s="3" t="s">
        <v>45</v>
      </c>
      <c r="H439" s="3" t="s">
        <v>32</v>
      </c>
      <c r="I439" s="25" t="str">
        <f>VLOOKUP(H439,Tabla5[#All],4,FALSE)</f>
        <v>-31,4148488101991, -64,1793406489438</v>
      </c>
      <c r="J439" s="1">
        <v>29308</v>
      </c>
      <c r="K439" s="7">
        <f>INT((crimenes_cordoba_ampliado[[#This Row],[Fecha]]-crimenes_cordoba_ampliado[[#This Row],[Fecha Nac. Delincuente]])/365)</f>
        <v>39</v>
      </c>
      <c r="L439" s="7" t="str">
        <f>_xlfn.XLOOKUP(crimenes_cordoba_ampliado[[#This Row],[EDAD DELINCUENTE]],'Rango etareo'!$A$10:$A$25,'Rango etareo'!$B$10:$B$25,,-1)</f>
        <v>36 - 45</v>
      </c>
      <c r="M439" s="3" t="s">
        <v>21</v>
      </c>
      <c r="N439" s="3" t="str">
        <f>IF(crimenes_cordoba_ampliado[[#This Row],[Género Delincuente]]="Femenino","🚺","🚹")</f>
        <v>🚺</v>
      </c>
      <c r="O439">
        <v>5</v>
      </c>
      <c r="P439" s="1">
        <v>37064</v>
      </c>
      <c r="Q439" s="7">
        <f>INT((crimenes_cordoba_ampliado[[#This Row],[Fecha]]-crimenes_cordoba_ampliado[[#This Row],[Fecha Nac. Víctima]])/365)</f>
        <v>18</v>
      </c>
      <c r="R439" s="7" t="str">
        <f>_xlfn.XLOOKUP(crimenes_cordoba_ampliado[[#This Row],[EDAD VICTIMA]],'Rango etareo'!$A$2:$A$25,'Rango etareo'!$B$2:$B$25,,-1)</f>
        <v>18 - 25</v>
      </c>
      <c r="S439" s="3" t="s">
        <v>21</v>
      </c>
      <c r="T439" s="3" t="str">
        <f>IF(crimenes_cordoba_ampliado[[#This Row],[Género Víctima]]="Masculino","🚹","🚺")</f>
        <v>🚺</v>
      </c>
      <c r="U439">
        <v>1</v>
      </c>
      <c r="V439" s="3" t="s">
        <v>25</v>
      </c>
      <c r="W439" s="3" t="s">
        <v>24</v>
      </c>
      <c r="X439" s="3" t="s">
        <v>24</v>
      </c>
      <c r="Y439" s="3" t="s">
        <v>46</v>
      </c>
      <c r="Z439" s="3" t="s">
        <v>25</v>
      </c>
      <c r="AA439" s="3" t="s">
        <v>25</v>
      </c>
      <c r="AB439" s="3" t="str">
        <f>IF(crimenes_cordoba_ampliado[[#This Row],[Hubo Arresto]]="Sí", "Resuelto", "Pendiente")</f>
        <v>Pendiente</v>
      </c>
      <c r="AC439" s="3" t="s">
        <v>24</v>
      </c>
      <c r="AD439" s="3"/>
    </row>
    <row r="440" spans="1:30" x14ac:dyDescent="0.25">
      <c r="A440">
        <v>216</v>
      </c>
      <c r="B440" s="1">
        <v>43698</v>
      </c>
      <c r="C440" s="33">
        <f t="shared" si="12"/>
        <v>43698</v>
      </c>
      <c r="D440" s="34">
        <f t="shared" si="13"/>
        <v>43698</v>
      </c>
      <c r="E440" s="35" t="s">
        <v>1450</v>
      </c>
      <c r="F440" s="2">
        <v>0.9604166666666667</v>
      </c>
      <c r="G440" s="3" t="s">
        <v>19</v>
      </c>
      <c r="H440" s="3" t="s">
        <v>55</v>
      </c>
      <c r="I440" s="25" t="str">
        <f>VLOOKUP(H440,Tabla5[#All],4,FALSE)</f>
        <v>-31,4015892433235, -64,160442876477</v>
      </c>
      <c r="J440" s="1">
        <v>29275</v>
      </c>
      <c r="K440" s="7">
        <f>INT((crimenes_cordoba_ampliado[[#This Row],[Fecha]]-crimenes_cordoba_ampliado[[#This Row],[Fecha Nac. Delincuente]])/365)</f>
        <v>39</v>
      </c>
      <c r="L440" s="7" t="str">
        <f>_xlfn.XLOOKUP(crimenes_cordoba_ampliado[[#This Row],[EDAD DELINCUENTE]],'Rango etareo'!$A$10:$A$25,'Rango etareo'!$B$10:$B$25,,-1)</f>
        <v>36 - 45</v>
      </c>
      <c r="M440" s="3" t="s">
        <v>22</v>
      </c>
      <c r="N440" s="3" t="str">
        <f>IF(crimenes_cordoba_ampliado[[#This Row],[Género Delincuente]]="Femenino","🚺","🚹")</f>
        <v>🚹</v>
      </c>
      <c r="O440">
        <v>3</v>
      </c>
      <c r="P440" s="1">
        <v>35985</v>
      </c>
      <c r="Q440" s="7">
        <f>INT((crimenes_cordoba_ampliado[[#This Row],[Fecha]]-crimenes_cordoba_ampliado[[#This Row],[Fecha Nac. Víctima]])/365)</f>
        <v>21</v>
      </c>
      <c r="R440" s="7" t="str">
        <f>_xlfn.XLOOKUP(crimenes_cordoba_ampliado[[#This Row],[EDAD VICTIMA]],'Rango etareo'!$A$2:$A$25,'Rango etareo'!$B$2:$B$25,,-1)</f>
        <v>18 - 25</v>
      </c>
      <c r="S440" s="3" t="s">
        <v>21</v>
      </c>
      <c r="T440" s="3" t="str">
        <f>IF(crimenes_cordoba_ampliado[[#This Row],[Género Víctima]]="Masculino","🚹","🚺")</f>
        <v>🚺</v>
      </c>
      <c r="U440">
        <v>1</v>
      </c>
      <c r="V440" s="3" t="s">
        <v>25</v>
      </c>
      <c r="W440" s="3" t="s">
        <v>83</v>
      </c>
      <c r="X440" s="3" t="s">
        <v>67</v>
      </c>
      <c r="Y440" s="3" t="s">
        <v>24</v>
      </c>
      <c r="Z440" s="3" t="s">
        <v>25</v>
      </c>
      <c r="AA440" s="3" t="s">
        <v>23</v>
      </c>
      <c r="AB440" s="3" t="str">
        <f>IF(crimenes_cordoba_ampliado[[#This Row],[Hubo Arresto]]="Sí", "Resuelto", "Pendiente")</f>
        <v>Pendiente</v>
      </c>
      <c r="AC440" s="3" t="s">
        <v>24</v>
      </c>
      <c r="AD440" s="3"/>
    </row>
    <row r="441" spans="1:30" x14ac:dyDescent="0.25">
      <c r="A441">
        <v>924</v>
      </c>
      <c r="B441" s="1">
        <v>43701</v>
      </c>
      <c r="C441" s="33">
        <f t="shared" si="12"/>
        <v>43701</v>
      </c>
      <c r="D441" s="34">
        <f t="shared" si="13"/>
        <v>43701</v>
      </c>
      <c r="E441" s="35" t="s">
        <v>1451</v>
      </c>
      <c r="F441" s="2">
        <v>0.88402777777777775</v>
      </c>
      <c r="G441" s="3" t="s">
        <v>35</v>
      </c>
      <c r="H441" s="3" t="s">
        <v>60</v>
      </c>
      <c r="I441" s="25" t="str">
        <f>VLOOKUP(H441,Tabla5[#All],4,FALSE)</f>
        <v>-31,4076397196409, -64,2020170430678</v>
      </c>
      <c r="J441" s="1">
        <v>20061</v>
      </c>
      <c r="K441" s="7">
        <f>INT((crimenes_cordoba_ampliado[[#This Row],[Fecha]]-crimenes_cordoba_ampliado[[#This Row],[Fecha Nac. Delincuente]])/365)</f>
        <v>64</v>
      </c>
      <c r="L441" s="7" t="str">
        <f>_xlfn.XLOOKUP(crimenes_cordoba_ampliado[[#This Row],[EDAD DELINCUENTE]],'Rango etareo'!$A$10:$A$25,'Rango etareo'!$B$10:$B$25,,-1)</f>
        <v>56 - 65</v>
      </c>
      <c r="M441" s="3" t="s">
        <v>21</v>
      </c>
      <c r="N441" s="3" t="str">
        <f>IF(crimenes_cordoba_ampliado[[#This Row],[Género Delincuente]]="Femenino","🚺","🚹")</f>
        <v>🚺</v>
      </c>
      <c r="O441">
        <v>3</v>
      </c>
      <c r="P441" s="1">
        <v>35535</v>
      </c>
      <c r="Q441" s="7">
        <f>INT((crimenes_cordoba_ampliado[[#This Row],[Fecha]]-crimenes_cordoba_ampliado[[#This Row],[Fecha Nac. Víctima]])/365)</f>
        <v>22</v>
      </c>
      <c r="R441" s="7" t="str">
        <f>_xlfn.XLOOKUP(crimenes_cordoba_ampliado[[#This Row],[EDAD VICTIMA]],'Rango etareo'!$A$2:$A$25,'Rango etareo'!$B$2:$B$25,,-1)</f>
        <v>18 - 25</v>
      </c>
      <c r="S441" s="3" t="s">
        <v>21</v>
      </c>
      <c r="T441" s="3" t="str">
        <f>IF(crimenes_cordoba_ampliado[[#This Row],[Género Víctima]]="Masculino","🚹","🚺")</f>
        <v>🚺</v>
      </c>
      <c r="U441">
        <v>3</v>
      </c>
      <c r="V441" s="3" t="s">
        <v>25</v>
      </c>
      <c r="W441" s="3" t="s">
        <v>24</v>
      </c>
      <c r="X441" s="3" t="s">
        <v>24</v>
      </c>
      <c r="Y441" s="3" t="s">
        <v>86</v>
      </c>
      <c r="Z441" s="3" t="s">
        <v>25</v>
      </c>
      <c r="AA441" s="3" t="s">
        <v>25</v>
      </c>
      <c r="AB441" s="3" t="str">
        <f>IF(crimenes_cordoba_ampliado[[#This Row],[Hubo Arresto]]="Sí", "Resuelto", "Pendiente")</f>
        <v>Pendiente</v>
      </c>
      <c r="AC441" s="3" t="s">
        <v>24</v>
      </c>
      <c r="AD441" s="3"/>
    </row>
    <row r="442" spans="1:30" x14ac:dyDescent="0.25">
      <c r="A442">
        <v>450</v>
      </c>
      <c r="B442" s="1">
        <v>43704</v>
      </c>
      <c r="C442" s="33">
        <f t="shared" si="12"/>
        <v>43704</v>
      </c>
      <c r="D442" s="34">
        <f t="shared" si="13"/>
        <v>43704</v>
      </c>
      <c r="E442" s="35" t="s">
        <v>1453</v>
      </c>
      <c r="F442" s="2">
        <v>0.39305555555555555</v>
      </c>
      <c r="G442" s="3" t="s">
        <v>35</v>
      </c>
      <c r="H442" s="3" t="s">
        <v>65</v>
      </c>
      <c r="I442" s="25" t="str">
        <f>VLOOKUP(H442,Tabla5[#All],4,FALSE)</f>
        <v>-31,4285567311661, -64,1853198281007</v>
      </c>
      <c r="J442" s="1">
        <v>19459</v>
      </c>
      <c r="K442" s="7">
        <f>INT((crimenes_cordoba_ampliado[[#This Row],[Fecha]]-crimenes_cordoba_ampliado[[#This Row],[Fecha Nac. Delincuente]])/365)</f>
        <v>66</v>
      </c>
      <c r="L442" s="7" t="str">
        <f>_xlfn.XLOOKUP(crimenes_cordoba_ampliado[[#This Row],[EDAD DELINCUENTE]],'Rango etareo'!$A$10:$A$25,'Rango etareo'!$B$10:$B$25,,-1)</f>
        <v>&gt;65</v>
      </c>
      <c r="M442" s="3" t="s">
        <v>21</v>
      </c>
      <c r="N442" s="3" t="str">
        <f>IF(crimenes_cordoba_ampliado[[#This Row],[Género Delincuente]]="Femenino","🚺","🚹")</f>
        <v>🚺</v>
      </c>
      <c r="O442">
        <v>1</v>
      </c>
      <c r="P442" s="1">
        <v>27124</v>
      </c>
      <c r="Q442" s="7">
        <f>INT((crimenes_cordoba_ampliado[[#This Row],[Fecha]]-crimenes_cordoba_ampliado[[#This Row],[Fecha Nac. Víctima]])/365)</f>
        <v>45</v>
      </c>
      <c r="R442" s="7" t="str">
        <f>_xlfn.XLOOKUP(crimenes_cordoba_ampliado[[#This Row],[EDAD VICTIMA]],'Rango etareo'!$A$2:$A$25,'Rango etareo'!$B$2:$B$25,,-1)</f>
        <v>36 - 45</v>
      </c>
      <c r="S442" s="3" t="s">
        <v>22</v>
      </c>
      <c r="T442" s="3" t="str">
        <f>IF(crimenes_cordoba_ampliado[[#This Row],[Género Víctima]]="Masculino","🚹","🚺")</f>
        <v>🚹</v>
      </c>
      <c r="U442">
        <v>1</v>
      </c>
      <c r="V442" s="3" t="s">
        <v>25</v>
      </c>
      <c r="W442" s="3" t="s">
        <v>24</v>
      </c>
      <c r="X442" s="3" t="s">
        <v>24</v>
      </c>
      <c r="Y442" s="3" t="s">
        <v>56</v>
      </c>
      <c r="Z442" s="3" t="s">
        <v>25</v>
      </c>
      <c r="AA442" s="3" t="s">
        <v>25</v>
      </c>
      <c r="AB442" s="3" t="str">
        <f>IF(crimenes_cordoba_ampliado[[#This Row],[Hubo Arresto]]="Sí", "Resuelto", "Pendiente")</f>
        <v>Pendiente</v>
      </c>
      <c r="AC442" s="3" t="s">
        <v>24</v>
      </c>
      <c r="AD442" s="3"/>
    </row>
    <row r="443" spans="1:30" x14ac:dyDescent="0.25">
      <c r="A443">
        <v>452</v>
      </c>
      <c r="B443" s="1">
        <v>43690</v>
      </c>
      <c r="C443" s="33">
        <f t="shared" si="12"/>
        <v>43690</v>
      </c>
      <c r="D443" s="34">
        <f t="shared" si="13"/>
        <v>43690</v>
      </c>
      <c r="E443" s="35" t="s">
        <v>1453</v>
      </c>
      <c r="F443" s="2">
        <v>0.59305555555555556</v>
      </c>
      <c r="G443" s="3" t="s">
        <v>45</v>
      </c>
      <c r="H443" s="3" t="s">
        <v>49</v>
      </c>
      <c r="I443" s="25" t="str">
        <f>VLOOKUP(H443,Tabla5[#All],4,FALSE)</f>
        <v>-31,4506257494184, -64,1733054344705</v>
      </c>
      <c r="J443" s="1">
        <v>32734</v>
      </c>
      <c r="K443" s="7">
        <f>INT((crimenes_cordoba_ampliado[[#This Row],[Fecha]]-crimenes_cordoba_ampliado[[#This Row],[Fecha Nac. Delincuente]])/365)</f>
        <v>30</v>
      </c>
      <c r="L443" s="7" t="str">
        <f>_xlfn.XLOOKUP(crimenes_cordoba_ampliado[[#This Row],[EDAD DELINCUENTE]],'Rango etareo'!$A$10:$A$25,'Rango etareo'!$B$10:$B$25,,-1)</f>
        <v>26 - 35</v>
      </c>
      <c r="M443" s="3" t="s">
        <v>22</v>
      </c>
      <c r="N443" s="3" t="str">
        <f>IF(crimenes_cordoba_ampliado[[#This Row],[Género Delincuente]]="Femenino","🚺","🚹")</f>
        <v>🚹</v>
      </c>
      <c r="O443">
        <v>3</v>
      </c>
      <c r="P443" s="1">
        <v>39017</v>
      </c>
      <c r="Q443" s="7">
        <f>INT((crimenes_cordoba_ampliado[[#This Row],[Fecha]]-crimenes_cordoba_ampliado[[#This Row],[Fecha Nac. Víctima]])/365)</f>
        <v>12</v>
      </c>
      <c r="R443" s="7" t="str">
        <f>_xlfn.XLOOKUP(crimenes_cordoba_ampliado[[#This Row],[EDAD VICTIMA]],'Rango etareo'!$A$2:$A$25,'Rango etareo'!$B$2:$B$25,,-1)</f>
        <v>&lt;=17</v>
      </c>
      <c r="S443" s="3" t="s">
        <v>21</v>
      </c>
      <c r="T443" s="3" t="str">
        <f>IF(crimenes_cordoba_ampliado[[#This Row],[Género Víctima]]="Masculino","🚹","🚺")</f>
        <v>🚺</v>
      </c>
      <c r="U443">
        <v>2</v>
      </c>
      <c r="V443" s="3" t="s">
        <v>23</v>
      </c>
      <c r="W443" s="3" t="s">
        <v>24</v>
      </c>
      <c r="X443" s="3" t="s">
        <v>24</v>
      </c>
      <c r="Y443" s="3" t="s">
        <v>56</v>
      </c>
      <c r="Z443" s="3" t="s">
        <v>25</v>
      </c>
      <c r="AA443" s="3" t="s">
        <v>25</v>
      </c>
      <c r="AB443" s="3" t="str">
        <f>IF(crimenes_cordoba_ampliado[[#This Row],[Hubo Arresto]]="Sí", "Resuelto", "Pendiente")</f>
        <v>Resuelto</v>
      </c>
      <c r="AC443" s="3" t="s">
        <v>157</v>
      </c>
      <c r="AD443" s="3"/>
    </row>
    <row r="444" spans="1:30" x14ac:dyDescent="0.25">
      <c r="A444">
        <v>453</v>
      </c>
      <c r="B444" s="1">
        <v>42250</v>
      </c>
      <c r="C444" s="33">
        <f t="shared" si="12"/>
        <v>42250</v>
      </c>
      <c r="D444" s="34">
        <f t="shared" si="13"/>
        <v>42250</v>
      </c>
      <c r="E444" s="35" t="s">
        <v>1454</v>
      </c>
      <c r="F444" s="2">
        <v>0.66180555555555554</v>
      </c>
      <c r="G444" s="3" t="s">
        <v>54</v>
      </c>
      <c r="H444" s="3" t="s">
        <v>58</v>
      </c>
      <c r="I444" s="25" t="str">
        <f>VLOOKUP(H444,Tabla5[#All],4,FALSE)</f>
        <v>-31,423018915313, -64,1493562190664</v>
      </c>
      <c r="J444" s="1">
        <v>24817</v>
      </c>
      <c r="K444" s="7">
        <f>INT((crimenes_cordoba_ampliado[[#This Row],[Fecha]]-crimenes_cordoba_ampliado[[#This Row],[Fecha Nac. Delincuente]])/365)</f>
        <v>47</v>
      </c>
      <c r="L444" s="7" t="str">
        <f>_xlfn.XLOOKUP(crimenes_cordoba_ampliado[[#This Row],[EDAD DELINCUENTE]],'Rango etareo'!$A$10:$A$25,'Rango etareo'!$B$10:$B$25,,-1)</f>
        <v>46 - 55</v>
      </c>
      <c r="M444" s="3" t="s">
        <v>22</v>
      </c>
      <c r="N444" s="3" t="str">
        <f>IF(crimenes_cordoba_ampliado[[#This Row],[Género Delincuente]]="Femenino","🚺","🚹")</f>
        <v>🚹</v>
      </c>
      <c r="O444">
        <v>4</v>
      </c>
      <c r="P444" s="1">
        <v>35719</v>
      </c>
      <c r="Q444" s="7">
        <f>INT((crimenes_cordoba_ampliado[[#This Row],[Fecha]]-crimenes_cordoba_ampliado[[#This Row],[Fecha Nac. Víctima]])/365)</f>
        <v>17</v>
      </c>
      <c r="R444" s="7" t="str">
        <f>_xlfn.XLOOKUP(crimenes_cordoba_ampliado[[#This Row],[EDAD VICTIMA]],'Rango etareo'!$A$2:$A$25,'Rango etareo'!$B$2:$B$25,,-1)</f>
        <v>&lt;=17</v>
      </c>
      <c r="S444" s="3" t="s">
        <v>21</v>
      </c>
      <c r="T444" s="3" t="str">
        <f>IF(crimenes_cordoba_ampliado[[#This Row],[Género Víctima]]="Masculino","🚹","🚺")</f>
        <v>🚺</v>
      </c>
      <c r="U444">
        <v>3</v>
      </c>
      <c r="V444" s="3" t="s">
        <v>23</v>
      </c>
      <c r="W444" s="3" t="s">
        <v>24</v>
      </c>
      <c r="X444" s="3" t="s">
        <v>29</v>
      </c>
      <c r="Y444" s="3" t="s">
        <v>24</v>
      </c>
      <c r="Z444" s="3" t="s">
        <v>25</v>
      </c>
      <c r="AA444" s="3" t="s">
        <v>25</v>
      </c>
      <c r="AB444" s="3" t="str">
        <f>IF(crimenes_cordoba_ampliado[[#This Row],[Hubo Arresto]]="Sí", "Resuelto", "Pendiente")</f>
        <v>Resuelto</v>
      </c>
      <c r="AC444" s="3" t="s">
        <v>241</v>
      </c>
      <c r="AD444" s="3"/>
    </row>
    <row r="445" spans="1:30" x14ac:dyDescent="0.25">
      <c r="A445">
        <v>455</v>
      </c>
      <c r="B445" s="1">
        <v>45566</v>
      </c>
      <c r="C445" s="33">
        <f t="shared" si="12"/>
        <v>45566</v>
      </c>
      <c r="D445" s="34">
        <f t="shared" si="13"/>
        <v>45566</v>
      </c>
      <c r="E445" s="35" t="s">
        <v>1453</v>
      </c>
      <c r="F445" s="2">
        <v>0.40902777777777777</v>
      </c>
      <c r="G445" s="3" t="s">
        <v>51</v>
      </c>
      <c r="H445" s="3" t="s">
        <v>60</v>
      </c>
      <c r="I445" s="25" t="str">
        <f>VLOOKUP(H445,Tabla5[#All],4,FALSE)</f>
        <v>-31,4076397196409, -64,2020170430678</v>
      </c>
      <c r="J445" s="1">
        <v>24422</v>
      </c>
      <c r="K445" s="7">
        <f>INT((crimenes_cordoba_ampliado[[#This Row],[Fecha]]-crimenes_cordoba_ampliado[[#This Row],[Fecha Nac. Delincuente]])/365)</f>
        <v>57</v>
      </c>
      <c r="L445" s="7" t="str">
        <f>_xlfn.XLOOKUP(crimenes_cordoba_ampliado[[#This Row],[EDAD DELINCUENTE]],'Rango etareo'!$A$10:$A$25,'Rango etareo'!$B$10:$B$25,,-1)</f>
        <v>56 - 65</v>
      </c>
      <c r="M445" s="3" t="s">
        <v>22</v>
      </c>
      <c r="N445" s="3" t="str">
        <f>IF(crimenes_cordoba_ampliado[[#This Row],[Género Delincuente]]="Femenino","🚺","🚹")</f>
        <v>🚹</v>
      </c>
      <c r="O445">
        <v>3</v>
      </c>
      <c r="P445" s="1">
        <v>27918</v>
      </c>
      <c r="Q445" s="7">
        <f>INT((crimenes_cordoba_ampliado[[#This Row],[Fecha]]-crimenes_cordoba_ampliado[[#This Row],[Fecha Nac. Víctima]])/365)</f>
        <v>48</v>
      </c>
      <c r="R445" s="7" t="str">
        <f>_xlfn.XLOOKUP(crimenes_cordoba_ampliado[[#This Row],[EDAD VICTIMA]],'Rango etareo'!$A$2:$A$25,'Rango etareo'!$B$2:$B$25,,-1)</f>
        <v>46 - 55</v>
      </c>
      <c r="S445" s="3" t="s">
        <v>21</v>
      </c>
      <c r="T445" s="3" t="str">
        <f>IF(crimenes_cordoba_ampliado[[#This Row],[Género Víctima]]="Masculino","🚹","🚺")</f>
        <v>🚺</v>
      </c>
      <c r="U445">
        <v>2</v>
      </c>
      <c r="V445" s="3" t="s">
        <v>23</v>
      </c>
      <c r="W445" s="3" t="s">
        <v>24</v>
      </c>
      <c r="X445" s="3" t="s">
        <v>24</v>
      </c>
      <c r="Y445" s="3" t="s">
        <v>89</v>
      </c>
      <c r="Z445" s="3" t="s">
        <v>25</v>
      </c>
      <c r="AA445" s="3" t="s">
        <v>23</v>
      </c>
      <c r="AB445" s="3" t="str">
        <f>IF(crimenes_cordoba_ampliado[[#This Row],[Hubo Arresto]]="Sí", "Resuelto", "Pendiente")</f>
        <v>Resuelto</v>
      </c>
      <c r="AC445" s="3" t="s">
        <v>242</v>
      </c>
      <c r="AD445" s="3"/>
    </row>
    <row r="446" spans="1:30" x14ac:dyDescent="0.25">
      <c r="A446">
        <v>707</v>
      </c>
      <c r="B446" s="1">
        <v>43715</v>
      </c>
      <c r="C446" s="33">
        <f t="shared" si="12"/>
        <v>43715</v>
      </c>
      <c r="D446" s="34">
        <f t="shared" si="13"/>
        <v>43715</v>
      </c>
      <c r="E446" s="35" t="s">
        <v>1451</v>
      </c>
      <c r="F446" s="2">
        <v>0.1361111111111111</v>
      </c>
      <c r="G446" s="3" t="s">
        <v>38</v>
      </c>
      <c r="H446" s="3" t="s">
        <v>65</v>
      </c>
      <c r="I446" s="25" t="str">
        <f>VLOOKUP(H446,Tabla5[#All],4,FALSE)</f>
        <v>-31,4285567311661, -64,1853198281007</v>
      </c>
      <c r="J446" s="1">
        <v>33027</v>
      </c>
      <c r="K446" s="7">
        <f>INT((crimenes_cordoba_ampliado[[#This Row],[Fecha]]-crimenes_cordoba_ampliado[[#This Row],[Fecha Nac. Delincuente]])/365)</f>
        <v>29</v>
      </c>
      <c r="L446" s="7" t="str">
        <f>_xlfn.XLOOKUP(crimenes_cordoba_ampliado[[#This Row],[EDAD DELINCUENTE]],'Rango etareo'!$A$10:$A$25,'Rango etareo'!$B$10:$B$25,,-1)</f>
        <v>26 - 35</v>
      </c>
      <c r="M446" s="3" t="s">
        <v>22</v>
      </c>
      <c r="N446" s="3" t="str">
        <f>IF(crimenes_cordoba_ampliado[[#This Row],[Género Delincuente]]="Femenino","🚺","🚹")</f>
        <v>🚹</v>
      </c>
      <c r="O446">
        <v>4</v>
      </c>
      <c r="P446" s="1">
        <v>32239</v>
      </c>
      <c r="Q446" s="7">
        <f>INT((crimenes_cordoba_ampliado[[#This Row],[Fecha]]-crimenes_cordoba_ampliado[[#This Row],[Fecha Nac. Víctima]])/365)</f>
        <v>31</v>
      </c>
      <c r="R446" s="7" t="str">
        <f>_xlfn.XLOOKUP(crimenes_cordoba_ampliado[[#This Row],[EDAD VICTIMA]],'Rango etareo'!$A$2:$A$25,'Rango etareo'!$B$2:$B$25,,-1)</f>
        <v>26 - 35</v>
      </c>
      <c r="S446" s="3" t="s">
        <v>21</v>
      </c>
      <c r="T446" s="3" t="str">
        <f>IF(crimenes_cordoba_ampliado[[#This Row],[Género Víctima]]="Masculino","🚹","🚺")</f>
        <v>🚺</v>
      </c>
      <c r="U446">
        <v>1</v>
      </c>
      <c r="V446" s="3" t="s">
        <v>25</v>
      </c>
      <c r="W446" s="3" t="s">
        <v>24</v>
      </c>
      <c r="X446" s="3" t="s">
        <v>24</v>
      </c>
      <c r="Y446" s="3" t="s">
        <v>53</v>
      </c>
      <c r="Z446" s="3" t="s">
        <v>23</v>
      </c>
      <c r="AA446" s="3" t="s">
        <v>23</v>
      </c>
      <c r="AB446" s="3" t="str">
        <f>IF(crimenes_cordoba_ampliado[[#This Row],[Hubo Arresto]]="Sí", "Resuelto", "Pendiente")</f>
        <v>Pendiente</v>
      </c>
      <c r="AC446" s="3" t="s">
        <v>24</v>
      </c>
      <c r="AD446" s="3"/>
    </row>
    <row r="447" spans="1:30" x14ac:dyDescent="0.25">
      <c r="A447">
        <v>372</v>
      </c>
      <c r="B447" s="1">
        <v>43717</v>
      </c>
      <c r="C447" s="33">
        <f t="shared" si="12"/>
        <v>43717</v>
      </c>
      <c r="D447" s="34">
        <f t="shared" si="13"/>
        <v>43717</v>
      </c>
      <c r="E447" s="35" t="s">
        <v>1452</v>
      </c>
      <c r="F447" s="2">
        <v>0.87013888888888891</v>
      </c>
      <c r="G447" s="3" t="s">
        <v>51</v>
      </c>
      <c r="H447" s="3" t="s">
        <v>52</v>
      </c>
      <c r="I447" s="25" t="str">
        <f>VLOOKUP(H447,Tabla5[#All],4,FALSE)</f>
        <v>-31,3477902896523, -64,2644406169297</v>
      </c>
      <c r="J447" s="1">
        <v>27749</v>
      </c>
      <c r="K447" s="7">
        <f>INT((crimenes_cordoba_ampliado[[#This Row],[Fecha]]-crimenes_cordoba_ampliado[[#This Row],[Fecha Nac. Delincuente]])/365)</f>
        <v>43</v>
      </c>
      <c r="L447" s="7" t="str">
        <f>_xlfn.XLOOKUP(crimenes_cordoba_ampliado[[#This Row],[EDAD DELINCUENTE]],'Rango etareo'!$A$10:$A$25,'Rango etareo'!$B$10:$B$25,,-1)</f>
        <v>36 - 45</v>
      </c>
      <c r="M447" s="3" t="s">
        <v>22</v>
      </c>
      <c r="N447" s="3" t="str">
        <f>IF(crimenes_cordoba_ampliado[[#This Row],[Género Delincuente]]="Femenino","🚺","🚹")</f>
        <v>🚹</v>
      </c>
      <c r="O447">
        <v>5</v>
      </c>
      <c r="P447" s="1">
        <v>22658</v>
      </c>
      <c r="Q447" s="7">
        <f>INT((crimenes_cordoba_ampliado[[#This Row],[Fecha]]-crimenes_cordoba_ampliado[[#This Row],[Fecha Nac. Víctima]])/365)</f>
        <v>57</v>
      </c>
      <c r="R447" s="7" t="str">
        <f>_xlfn.XLOOKUP(crimenes_cordoba_ampliado[[#This Row],[EDAD VICTIMA]],'Rango etareo'!$A$2:$A$25,'Rango etareo'!$B$2:$B$25,,-1)</f>
        <v>56 - 65</v>
      </c>
      <c r="S447" s="3" t="s">
        <v>22</v>
      </c>
      <c r="T447" s="3" t="str">
        <f>IF(crimenes_cordoba_ampliado[[#This Row],[Género Víctima]]="Masculino","🚹","🚺")</f>
        <v>🚹</v>
      </c>
      <c r="U447">
        <v>2</v>
      </c>
      <c r="V447" s="3" t="s">
        <v>25</v>
      </c>
      <c r="W447" s="3" t="s">
        <v>36</v>
      </c>
      <c r="X447" s="3" t="s">
        <v>41</v>
      </c>
      <c r="Y447" s="3" t="s">
        <v>24</v>
      </c>
      <c r="Z447" s="3" t="s">
        <v>25</v>
      </c>
      <c r="AA447" s="3" t="s">
        <v>25</v>
      </c>
      <c r="AB447" s="3" t="str">
        <f>IF(crimenes_cordoba_ampliado[[#This Row],[Hubo Arresto]]="Sí", "Resuelto", "Pendiente")</f>
        <v>Pendiente</v>
      </c>
      <c r="AC447" s="3" t="s">
        <v>24</v>
      </c>
      <c r="AD447" s="3"/>
    </row>
    <row r="448" spans="1:30" x14ac:dyDescent="0.25">
      <c r="A448">
        <v>568</v>
      </c>
      <c r="B448" s="1">
        <v>43717</v>
      </c>
      <c r="C448" s="33">
        <f t="shared" si="12"/>
        <v>43717</v>
      </c>
      <c r="D448" s="34">
        <f t="shared" si="13"/>
        <v>43717</v>
      </c>
      <c r="E448" s="35" t="s">
        <v>1452</v>
      </c>
      <c r="F448" s="2">
        <v>0.8520833333333333</v>
      </c>
      <c r="G448" s="3" t="s">
        <v>19</v>
      </c>
      <c r="H448" s="3" t="s">
        <v>49</v>
      </c>
      <c r="I448" s="25" t="str">
        <f>VLOOKUP(H448,Tabla5[#All],4,FALSE)</f>
        <v>-31,4506257494184, -64,1733054344705</v>
      </c>
      <c r="J448" s="1">
        <v>19467</v>
      </c>
      <c r="K448" s="7">
        <f>INT((crimenes_cordoba_ampliado[[#This Row],[Fecha]]-crimenes_cordoba_ampliado[[#This Row],[Fecha Nac. Delincuente]])/365)</f>
        <v>66</v>
      </c>
      <c r="L448" s="7" t="str">
        <f>_xlfn.XLOOKUP(crimenes_cordoba_ampliado[[#This Row],[EDAD DELINCUENTE]],'Rango etareo'!$A$10:$A$25,'Rango etareo'!$B$10:$B$25,,-1)</f>
        <v>&gt;65</v>
      </c>
      <c r="M448" s="3" t="s">
        <v>22</v>
      </c>
      <c r="N448" s="3" t="str">
        <f>IF(crimenes_cordoba_ampliado[[#This Row],[Género Delincuente]]="Femenino","🚺","🚹")</f>
        <v>🚹</v>
      </c>
      <c r="O448">
        <v>5</v>
      </c>
      <c r="P448" s="1">
        <v>40252</v>
      </c>
      <c r="Q448" s="7">
        <f>INT((crimenes_cordoba_ampliado[[#This Row],[Fecha]]-crimenes_cordoba_ampliado[[#This Row],[Fecha Nac. Víctima]])/365)</f>
        <v>9</v>
      </c>
      <c r="R448" s="7" t="str">
        <f>_xlfn.XLOOKUP(crimenes_cordoba_ampliado[[#This Row],[EDAD VICTIMA]],'Rango etareo'!$A$2:$A$25,'Rango etareo'!$B$2:$B$25,,-1)</f>
        <v>&lt;=17</v>
      </c>
      <c r="S448" s="3" t="s">
        <v>22</v>
      </c>
      <c r="T448" s="3" t="str">
        <f>IF(crimenes_cordoba_ampliado[[#This Row],[Género Víctima]]="Masculino","🚹","🚺")</f>
        <v>🚹</v>
      </c>
      <c r="U448">
        <v>1</v>
      </c>
      <c r="V448" s="3" t="s">
        <v>25</v>
      </c>
      <c r="W448" s="3" t="s">
        <v>24</v>
      </c>
      <c r="X448" s="3" t="s">
        <v>24</v>
      </c>
      <c r="Y448" s="3" t="s">
        <v>33</v>
      </c>
      <c r="Z448" s="3" t="s">
        <v>25</v>
      </c>
      <c r="AA448" s="3" t="s">
        <v>23</v>
      </c>
      <c r="AB448" s="3" t="str">
        <f>IF(crimenes_cordoba_ampliado[[#This Row],[Hubo Arresto]]="Sí", "Resuelto", "Pendiente")</f>
        <v>Pendiente</v>
      </c>
      <c r="AC448" s="3" t="s">
        <v>24</v>
      </c>
      <c r="AD448" s="3"/>
    </row>
    <row r="449" spans="1:30" x14ac:dyDescent="0.25">
      <c r="A449">
        <v>482</v>
      </c>
      <c r="B449" s="1">
        <v>43719</v>
      </c>
      <c r="C449" s="33">
        <f t="shared" si="12"/>
        <v>43719</v>
      </c>
      <c r="D449" s="34">
        <f t="shared" si="13"/>
        <v>43719</v>
      </c>
      <c r="E449" s="35" t="s">
        <v>1450</v>
      </c>
      <c r="F449" s="2">
        <v>0.80625000000000002</v>
      </c>
      <c r="G449" s="3" t="s">
        <v>27</v>
      </c>
      <c r="H449" s="3" t="s">
        <v>28</v>
      </c>
      <c r="I449" s="25" t="str">
        <f>VLOOKUP(H449,Tabla5[#All],4,FALSE)</f>
        <v>-31,4129883640337, -64,1681120522587</v>
      </c>
      <c r="J449" s="1">
        <v>29561</v>
      </c>
      <c r="K449" s="7">
        <f>INT((crimenes_cordoba_ampliado[[#This Row],[Fecha]]-crimenes_cordoba_ampliado[[#This Row],[Fecha Nac. Delincuente]])/365)</f>
        <v>38</v>
      </c>
      <c r="L449" s="7" t="str">
        <f>_xlfn.XLOOKUP(crimenes_cordoba_ampliado[[#This Row],[EDAD DELINCUENTE]],'Rango etareo'!$A$10:$A$25,'Rango etareo'!$B$10:$B$25,,-1)</f>
        <v>36 - 45</v>
      </c>
      <c r="M449" s="3" t="s">
        <v>21</v>
      </c>
      <c r="N449" s="3" t="str">
        <f>IF(crimenes_cordoba_ampliado[[#This Row],[Género Delincuente]]="Femenino","🚺","🚹")</f>
        <v>🚺</v>
      </c>
      <c r="O449">
        <v>5</v>
      </c>
      <c r="P449" s="1">
        <v>41452</v>
      </c>
      <c r="Q449" s="7">
        <f>INT((crimenes_cordoba_ampliado[[#This Row],[Fecha]]-crimenes_cordoba_ampliado[[#This Row],[Fecha Nac. Víctima]])/365)</f>
        <v>6</v>
      </c>
      <c r="R449" s="7" t="str">
        <f>_xlfn.XLOOKUP(crimenes_cordoba_ampliado[[#This Row],[EDAD VICTIMA]],'Rango etareo'!$A$2:$A$25,'Rango etareo'!$B$2:$B$25,,-1)</f>
        <v>&lt;=17</v>
      </c>
      <c r="S449" s="3" t="s">
        <v>22</v>
      </c>
      <c r="T449" s="3" t="str">
        <f>IF(crimenes_cordoba_ampliado[[#This Row],[Género Víctima]]="Masculino","🚹","🚺")</f>
        <v>🚹</v>
      </c>
      <c r="U449">
        <v>2</v>
      </c>
      <c r="V449" s="3" t="s">
        <v>25</v>
      </c>
      <c r="W449" s="3" t="s">
        <v>24</v>
      </c>
      <c r="X449" s="3" t="s">
        <v>24</v>
      </c>
      <c r="Y449" s="3" t="s">
        <v>80</v>
      </c>
      <c r="Z449" s="3" t="s">
        <v>25</v>
      </c>
      <c r="AA449" s="3" t="s">
        <v>23</v>
      </c>
      <c r="AB449" s="3" t="str">
        <f>IF(crimenes_cordoba_ampliado[[#This Row],[Hubo Arresto]]="Sí", "Resuelto", "Pendiente")</f>
        <v>Pendiente</v>
      </c>
      <c r="AC449" s="3" t="s">
        <v>24</v>
      </c>
      <c r="AD449" s="3"/>
    </row>
    <row r="450" spans="1:30" x14ac:dyDescent="0.25">
      <c r="A450">
        <v>460</v>
      </c>
      <c r="B450" s="1">
        <v>44232</v>
      </c>
      <c r="C450" s="33">
        <f t="shared" ref="C450:C513" si="14">B:B</f>
        <v>44232</v>
      </c>
      <c r="D450" s="34">
        <f t="shared" ref="D450:D513" si="15">B:B</f>
        <v>44232</v>
      </c>
      <c r="E450" s="35" t="s">
        <v>1455</v>
      </c>
      <c r="F450" s="2">
        <v>0.6875</v>
      </c>
      <c r="G450" s="3" t="s">
        <v>45</v>
      </c>
      <c r="H450" s="3" t="s">
        <v>20</v>
      </c>
      <c r="I450" s="25" t="str">
        <f>VLOOKUP(H450,Tabla5[#All],4,FALSE)</f>
        <v>-31,4800162965848, -64,2094200976892</v>
      </c>
      <c r="J450" s="1">
        <v>21567</v>
      </c>
      <c r="K450" s="7">
        <f>INT((crimenes_cordoba_ampliado[[#This Row],[Fecha]]-crimenes_cordoba_ampliado[[#This Row],[Fecha Nac. Delincuente]])/365)</f>
        <v>62</v>
      </c>
      <c r="L450" s="7" t="str">
        <f>_xlfn.XLOOKUP(crimenes_cordoba_ampliado[[#This Row],[EDAD DELINCUENTE]],'Rango etareo'!$A$10:$A$25,'Rango etareo'!$B$10:$B$25,,-1)</f>
        <v>56 - 65</v>
      </c>
      <c r="M450" s="3" t="s">
        <v>21</v>
      </c>
      <c r="N450" s="3" t="str">
        <f>IF(crimenes_cordoba_ampliado[[#This Row],[Género Delincuente]]="Femenino","🚺","🚹")</f>
        <v>🚺</v>
      </c>
      <c r="O450">
        <v>2</v>
      </c>
      <c r="P450" s="1">
        <v>41311</v>
      </c>
      <c r="Q450" s="7">
        <f>INT((crimenes_cordoba_ampliado[[#This Row],[Fecha]]-crimenes_cordoba_ampliado[[#This Row],[Fecha Nac. Víctima]])/365)</f>
        <v>8</v>
      </c>
      <c r="R450" s="7" t="str">
        <f>_xlfn.XLOOKUP(crimenes_cordoba_ampliado[[#This Row],[EDAD VICTIMA]],'Rango etareo'!$A$2:$A$25,'Rango etareo'!$B$2:$B$25,,-1)</f>
        <v>&lt;=17</v>
      </c>
      <c r="S450" s="3" t="s">
        <v>22</v>
      </c>
      <c r="T450" s="3" t="str">
        <f>IF(crimenes_cordoba_ampliado[[#This Row],[Género Víctima]]="Masculino","🚹","🚺")</f>
        <v>🚹</v>
      </c>
      <c r="U450">
        <v>2</v>
      </c>
      <c r="V450" s="3" t="s">
        <v>23</v>
      </c>
      <c r="W450" s="3" t="s">
        <v>24</v>
      </c>
      <c r="X450" s="3" t="s">
        <v>24</v>
      </c>
      <c r="Y450" s="3" t="s">
        <v>53</v>
      </c>
      <c r="Z450" s="3" t="s">
        <v>23</v>
      </c>
      <c r="AA450" s="3" t="s">
        <v>25</v>
      </c>
      <c r="AB450" s="3" t="str">
        <f>IF(crimenes_cordoba_ampliado[[#This Row],[Hubo Arresto]]="Sí", "Resuelto", "Pendiente")</f>
        <v>Resuelto</v>
      </c>
      <c r="AC450" s="3" t="s">
        <v>125</v>
      </c>
      <c r="AD450" s="3"/>
    </row>
    <row r="451" spans="1:30" x14ac:dyDescent="0.25">
      <c r="A451">
        <v>836</v>
      </c>
      <c r="B451" s="1">
        <v>43724</v>
      </c>
      <c r="C451" s="33">
        <f t="shared" si="14"/>
        <v>43724</v>
      </c>
      <c r="D451" s="34">
        <f t="shared" si="15"/>
        <v>43724</v>
      </c>
      <c r="E451" s="35" t="s">
        <v>1452</v>
      </c>
      <c r="F451" s="2">
        <v>0.2673611111111111</v>
      </c>
      <c r="G451" s="3" t="s">
        <v>38</v>
      </c>
      <c r="H451" s="3" t="s">
        <v>20</v>
      </c>
      <c r="I451" s="25" t="str">
        <f>VLOOKUP(H451,Tabla5[#All],4,FALSE)</f>
        <v>-31,4800162965848, -64,2094200976892</v>
      </c>
      <c r="J451" s="1">
        <v>32840</v>
      </c>
      <c r="K451" s="7">
        <f>INT((crimenes_cordoba_ampliado[[#This Row],[Fecha]]-crimenes_cordoba_ampliado[[#This Row],[Fecha Nac. Delincuente]])/365)</f>
        <v>29</v>
      </c>
      <c r="L451" s="7" t="str">
        <f>_xlfn.XLOOKUP(crimenes_cordoba_ampliado[[#This Row],[EDAD DELINCUENTE]],'Rango etareo'!$A$10:$A$25,'Rango etareo'!$B$10:$B$25,,-1)</f>
        <v>26 - 35</v>
      </c>
      <c r="M451" s="3" t="s">
        <v>21</v>
      </c>
      <c r="N451" s="3" t="str">
        <f>IF(crimenes_cordoba_ampliado[[#This Row],[Género Delincuente]]="Femenino","🚺","🚹")</f>
        <v>🚺</v>
      </c>
      <c r="O451">
        <v>4</v>
      </c>
      <c r="P451" s="1">
        <v>38536</v>
      </c>
      <c r="Q451" s="7">
        <f>INT((crimenes_cordoba_ampliado[[#This Row],[Fecha]]-crimenes_cordoba_ampliado[[#This Row],[Fecha Nac. Víctima]])/365)</f>
        <v>14</v>
      </c>
      <c r="R451" s="7" t="str">
        <f>_xlfn.XLOOKUP(crimenes_cordoba_ampliado[[#This Row],[EDAD VICTIMA]],'Rango etareo'!$A$2:$A$25,'Rango etareo'!$B$2:$B$25,,-1)</f>
        <v>&lt;=17</v>
      </c>
      <c r="S451" s="3" t="s">
        <v>21</v>
      </c>
      <c r="T451" s="3" t="str">
        <f>IF(crimenes_cordoba_ampliado[[#This Row],[Género Víctima]]="Masculino","🚹","🚺")</f>
        <v>🚺</v>
      </c>
      <c r="U451">
        <v>1</v>
      </c>
      <c r="V451" s="3" t="s">
        <v>25</v>
      </c>
      <c r="W451" s="3" t="s">
        <v>24</v>
      </c>
      <c r="X451" s="3" t="s">
        <v>67</v>
      </c>
      <c r="Y451" s="3" t="s">
        <v>24</v>
      </c>
      <c r="Z451" s="3" t="s">
        <v>23</v>
      </c>
      <c r="AA451" s="3" t="s">
        <v>25</v>
      </c>
      <c r="AB451" s="3" t="str">
        <f>IF(crimenes_cordoba_ampliado[[#This Row],[Hubo Arresto]]="Sí", "Resuelto", "Pendiente")</f>
        <v>Pendiente</v>
      </c>
      <c r="AC451" s="3" t="s">
        <v>24</v>
      </c>
      <c r="AD451" s="3"/>
    </row>
    <row r="452" spans="1:30" x14ac:dyDescent="0.25">
      <c r="A452">
        <v>461</v>
      </c>
      <c r="B452" s="1">
        <v>42762</v>
      </c>
      <c r="C452" s="33">
        <f t="shared" si="14"/>
        <v>42762</v>
      </c>
      <c r="D452" s="34">
        <f t="shared" si="15"/>
        <v>42762</v>
      </c>
      <c r="E452" s="35" t="s">
        <v>1455</v>
      </c>
      <c r="F452" s="2">
        <v>0.71527777777777779</v>
      </c>
      <c r="G452" s="3" t="s">
        <v>35</v>
      </c>
      <c r="H452" s="3" t="s">
        <v>20</v>
      </c>
      <c r="I452" s="25" t="str">
        <f>VLOOKUP(H452,Tabla5[#All],4,FALSE)</f>
        <v>-31,4800162965848, -64,2094200976892</v>
      </c>
      <c r="J452" s="1">
        <v>27314</v>
      </c>
      <c r="K452" s="7">
        <f>INT((crimenes_cordoba_ampliado[[#This Row],[Fecha]]-crimenes_cordoba_ampliado[[#This Row],[Fecha Nac. Delincuente]])/365)</f>
        <v>42</v>
      </c>
      <c r="L452" s="7" t="str">
        <f>_xlfn.XLOOKUP(crimenes_cordoba_ampliado[[#This Row],[EDAD DELINCUENTE]],'Rango etareo'!$A$10:$A$25,'Rango etareo'!$B$10:$B$25,,-1)</f>
        <v>36 - 45</v>
      </c>
      <c r="M452" s="3" t="s">
        <v>21</v>
      </c>
      <c r="N452" s="3" t="str">
        <f>IF(crimenes_cordoba_ampliado[[#This Row],[Género Delincuente]]="Femenino","🚺","🚹")</f>
        <v>🚺</v>
      </c>
      <c r="O452">
        <v>1</v>
      </c>
      <c r="P452" s="1">
        <v>37328</v>
      </c>
      <c r="Q452" s="7">
        <f>INT((crimenes_cordoba_ampliado[[#This Row],[Fecha]]-crimenes_cordoba_ampliado[[#This Row],[Fecha Nac. Víctima]])/365)</f>
        <v>14</v>
      </c>
      <c r="R452" s="7" t="str">
        <f>_xlfn.XLOOKUP(crimenes_cordoba_ampliado[[#This Row],[EDAD VICTIMA]],'Rango etareo'!$A$2:$A$25,'Rango etareo'!$B$2:$B$25,,-1)</f>
        <v>&lt;=17</v>
      </c>
      <c r="S452" s="3" t="s">
        <v>21</v>
      </c>
      <c r="T452" s="3" t="str">
        <f>IF(crimenes_cordoba_ampliado[[#This Row],[Género Víctima]]="Masculino","🚹","🚺")</f>
        <v>🚺</v>
      </c>
      <c r="U452">
        <v>2</v>
      </c>
      <c r="V452" s="3" t="s">
        <v>23</v>
      </c>
      <c r="W452" s="3" t="s">
        <v>24</v>
      </c>
      <c r="X452" s="3" t="s">
        <v>24</v>
      </c>
      <c r="Y452" s="3" t="s">
        <v>53</v>
      </c>
      <c r="Z452" s="3" t="s">
        <v>23</v>
      </c>
      <c r="AA452" s="3" t="s">
        <v>23</v>
      </c>
      <c r="AB452" s="3" t="str">
        <f>IF(crimenes_cordoba_ampliado[[#This Row],[Hubo Arresto]]="Sí", "Resuelto", "Pendiente")</f>
        <v>Resuelto</v>
      </c>
      <c r="AC452" s="3" t="s">
        <v>231</v>
      </c>
      <c r="AD452" s="3"/>
    </row>
    <row r="453" spans="1:30" x14ac:dyDescent="0.25">
      <c r="A453">
        <v>639</v>
      </c>
      <c r="B453" s="1">
        <v>43728</v>
      </c>
      <c r="C453" s="33">
        <f t="shared" si="14"/>
        <v>43728</v>
      </c>
      <c r="D453" s="34">
        <f t="shared" si="15"/>
        <v>43728</v>
      </c>
      <c r="E453" s="35" t="s">
        <v>1455</v>
      </c>
      <c r="F453" s="2">
        <v>0.86597222222222225</v>
      </c>
      <c r="G453" s="3" t="s">
        <v>31</v>
      </c>
      <c r="H453" s="3" t="s">
        <v>60</v>
      </c>
      <c r="I453" s="25" t="str">
        <f>VLOOKUP(H453,Tabla5[#All],4,FALSE)</f>
        <v>-31,4076397196409, -64,2020170430678</v>
      </c>
      <c r="J453" s="1">
        <v>31757</v>
      </c>
      <c r="K453" s="7">
        <f>INT((crimenes_cordoba_ampliado[[#This Row],[Fecha]]-crimenes_cordoba_ampliado[[#This Row],[Fecha Nac. Delincuente]])/365)</f>
        <v>32</v>
      </c>
      <c r="L453" s="7" t="str">
        <f>_xlfn.XLOOKUP(crimenes_cordoba_ampliado[[#This Row],[EDAD DELINCUENTE]],'Rango etareo'!$A$10:$A$25,'Rango etareo'!$B$10:$B$25,,-1)</f>
        <v>26 - 35</v>
      </c>
      <c r="M453" s="3" t="s">
        <v>22</v>
      </c>
      <c r="N453" s="3" t="str">
        <f>IF(crimenes_cordoba_ampliado[[#This Row],[Género Delincuente]]="Femenino","🚺","🚹")</f>
        <v>🚹</v>
      </c>
      <c r="O453">
        <v>3</v>
      </c>
      <c r="P453" s="1">
        <v>25156</v>
      </c>
      <c r="Q453" s="7">
        <f>INT((crimenes_cordoba_ampliado[[#This Row],[Fecha]]-crimenes_cordoba_ampliado[[#This Row],[Fecha Nac. Víctima]])/365)</f>
        <v>50</v>
      </c>
      <c r="R453" s="7" t="str">
        <f>_xlfn.XLOOKUP(crimenes_cordoba_ampliado[[#This Row],[EDAD VICTIMA]],'Rango etareo'!$A$2:$A$25,'Rango etareo'!$B$2:$B$25,,-1)</f>
        <v>46 - 55</v>
      </c>
      <c r="S453" s="3" t="s">
        <v>22</v>
      </c>
      <c r="T453" s="3" t="str">
        <f>IF(crimenes_cordoba_ampliado[[#This Row],[Género Víctima]]="Masculino","🚹","🚺")</f>
        <v>🚹</v>
      </c>
      <c r="U453">
        <v>1</v>
      </c>
      <c r="V453" s="3" t="s">
        <v>25</v>
      </c>
      <c r="W453" s="3" t="s">
        <v>36</v>
      </c>
      <c r="X453" s="3" t="s">
        <v>24</v>
      </c>
      <c r="Y453" s="3" t="s">
        <v>101</v>
      </c>
      <c r="Z453" s="3" t="s">
        <v>23</v>
      </c>
      <c r="AA453" s="3" t="s">
        <v>25</v>
      </c>
      <c r="AB453" s="3" t="str">
        <f>IF(crimenes_cordoba_ampliado[[#This Row],[Hubo Arresto]]="Sí", "Resuelto", "Pendiente")</f>
        <v>Pendiente</v>
      </c>
      <c r="AC453" s="3" t="s">
        <v>24</v>
      </c>
      <c r="AD453" s="3"/>
    </row>
    <row r="454" spans="1:30" x14ac:dyDescent="0.25">
      <c r="A454">
        <v>88</v>
      </c>
      <c r="B454" s="1">
        <v>43735</v>
      </c>
      <c r="C454" s="33">
        <f t="shared" si="14"/>
        <v>43735</v>
      </c>
      <c r="D454" s="34">
        <f t="shared" si="15"/>
        <v>43735</v>
      </c>
      <c r="E454" s="35" t="s">
        <v>1455</v>
      </c>
      <c r="F454" s="2">
        <v>0.99930555555555556</v>
      </c>
      <c r="G454" s="3" t="s">
        <v>48</v>
      </c>
      <c r="H454" s="3" t="s">
        <v>55</v>
      </c>
      <c r="I454" s="25" t="str">
        <f>VLOOKUP(H454,Tabla5[#All],4,FALSE)</f>
        <v>-31,4015892433235, -64,160442876477</v>
      </c>
      <c r="J454" s="1">
        <v>28593</v>
      </c>
      <c r="K454" s="7">
        <f>INT((crimenes_cordoba_ampliado[[#This Row],[Fecha]]-crimenes_cordoba_ampliado[[#This Row],[Fecha Nac. Delincuente]])/365)</f>
        <v>41</v>
      </c>
      <c r="L454" s="7" t="str">
        <f>_xlfn.XLOOKUP(crimenes_cordoba_ampliado[[#This Row],[EDAD DELINCUENTE]],'Rango etareo'!$A$10:$A$25,'Rango etareo'!$B$10:$B$25,,-1)</f>
        <v>36 - 45</v>
      </c>
      <c r="M454" s="3" t="s">
        <v>21</v>
      </c>
      <c r="N454" s="3" t="str">
        <f>IF(crimenes_cordoba_ampliado[[#This Row],[Género Delincuente]]="Femenino","🚺","🚹")</f>
        <v>🚺</v>
      </c>
      <c r="O454">
        <v>1</v>
      </c>
      <c r="P454" s="1">
        <v>33133</v>
      </c>
      <c r="Q454" s="7">
        <f>INT((crimenes_cordoba_ampliado[[#This Row],[Fecha]]-crimenes_cordoba_ampliado[[#This Row],[Fecha Nac. Víctima]])/365)</f>
        <v>29</v>
      </c>
      <c r="R454" s="7" t="str">
        <f>_xlfn.XLOOKUP(crimenes_cordoba_ampliado[[#This Row],[EDAD VICTIMA]],'Rango etareo'!$A$2:$A$25,'Rango etareo'!$B$2:$B$25,,-1)</f>
        <v>26 - 35</v>
      </c>
      <c r="S454" s="3" t="s">
        <v>21</v>
      </c>
      <c r="T454" s="3" t="str">
        <f>IF(crimenes_cordoba_ampliado[[#This Row],[Género Víctima]]="Masculino","🚹","🚺")</f>
        <v>🚺</v>
      </c>
      <c r="U454">
        <v>3</v>
      </c>
      <c r="V454" s="3" t="s">
        <v>25</v>
      </c>
      <c r="W454" s="3" t="s">
        <v>71</v>
      </c>
      <c r="X454" s="3" t="s">
        <v>24</v>
      </c>
      <c r="Y454" s="3" t="s">
        <v>101</v>
      </c>
      <c r="Z454" s="3" t="s">
        <v>25</v>
      </c>
      <c r="AA454" s="3" t="s">
        <v>25</v>
      </c>
      <c r="AB454" s="3" t="str">
        <f>IF(crimenes_cordoba_ampliado[[#This Row],[Hubo Arresto]]="Sí", "Resuelto", "Pendiente")</f>
        <v>Pendiente</v>
      </c>
      <c r="AC454" s="3" t="s">
        <v>24</v>
      </c>
      <c r="AD454" s="3"/>
    </row>
    <row r="455" spans="1:30" x14ac:dyDescent="0.25">
      <c r="A455">
        <v>463</v>
      </c>
      <c r="B455" s="1">
        <v>43584</v>
      </c>
      <c r="C455" s="33">
        <f t="shared" si="14"/>
        <v>43584</v>
      </c>
      <c r="D455" s="34">
        <f t="shared" si="15"/>
        <v>43584</v>
      </c>
      <c r="E455" s="35" t="s">
        <v>1452</v>
      </c>
      <c r="F455" s="2">
        <v>0.45277777777777778</v>
      </c>
      <c r="G455" s="3" t="s">
        <v>27</v>
      </c>
      <c r="H455" s="3" t="s">
        <v>60</v>
      </c>
      <c r="I455" s="25" t="str">
        <f>VLOOKUP(H455,Tabla5[#All],4,FALSE)</f>
        <v>-31,4076397196409, -64,2020170430678</v>
      </c>
      <c r="J455" s="1">
        <v>30242</v>
      </c>
      <c r="K455" s="7">
        <f>INT((crimenes_cordoba_ampliado[[#This Row],[Fecha]]-crimenes_cordoba_ampliado[[#This Row],[Fecha Nac. Delincuente]])/365)</f>
        <v>36</v>
      </c>
      <c r="L455" s="7" t="str">
        <f>_xlfn.XLOOKUP(crimenes_cordoba_ampliado[[#This Row],[EDAD DELINCUENTE]],'Rango etareo'!$A$10:$A$25,'Rango etareo'!$B$10:$B$25,,-1)</f>
        <v>36 - 45</v>
      </c>
      <c r="M455" s="3" t="s">
        <v>21</v>
      </c>
      <c r="N455" s="3" t="str">
        <f>IF(crimenes_cordoba_ampliado[[#This Row],[Género Delincuente]]="Femenino","🚺","🚹")</f>
        <v>🚺</v>
      </c>
      <c r="O455">
        <v>5</v>
      </c>
      <c r="P455" s="1">
        <v>40745</v>
      </c>
      <c r="Q455" s="7">
        <f>INT((crimenes_cordoba_ampliado[[#This Row],[Fecha]]-crimenes_cordoba_ampliado[[#This Row],[Fecha Nac. Víctima]])/365)</f>
        <v>7</v>
      </c>
      <c r="R455" s="7" t="str">
        <f>_xlfn.XLOOKUP(crimenes_cordoba_ampliado[[#This Row],[EDAD VICTIMA]],'Rango etareo'!$A$2:$A$25,'Rango etareo'!$B$2:$B$25,,-1)</f>
        <v>&lt;=17</v>
      </c>
      <c r="S455" s="3" t="s">
        <v>21</v>
      </c>
      <c r="T455" s="3" t="str">
        <f>IF(crimenes_cordoba_ampliado[[#This Row],[Género Víctima]]="Masculino","🚹","🚺")</f>
        <v>🚺</v>
      </c>
      <c r="U455">
        <v>1</v>
      </c>
      <c r="V455" s="3" t="s">
        <v>23</v>
      </c>
      <c r="W455" s="3" t="s">
        <v>24</v>
      </c>
      <c r="X455" s="3" t="s">
        <v>24</v>
      </c>
      <c r="Y455" s="3" t="s">
        <v>53</v>
      </c>
      <c r="Z455" s="3" t="s">
        <v>23</v>
      </c>
      <c r="AA455" s="3" t="s">
        <v>25</v>
      </c>
      <c r="AB455" s="3" t="str">
        <f>IF(crimenes_cordoba_ampliado[[#This Row],[Hubo Arresto]]="Sí", "Resuelto", "Pendiente")</f>
        <v>Resuelto</v>
      </c>
      <c r="AC455" s="3" t="s">
        <v>243</v>
      </c>
      <c r="AD455" s="3"/>
    </row>
    <row r="456" spans="1:30" x14ac:dyDescent="0.25">
      <c r="A456">
        <v>318</v>
      </c>
      <c r="B456" s="1">
        <v>43738</v>
      </c>
      <c r="C456" s="33">
        <f t="shared" si="14"/>
        <v>43738</v>
      </c>
      <c r="D456" s="34">
        <f t="shared" si="15"/>
        <v>43738</v>
      </c>
      <c r="E456" s="35" t="s">
        <v>1452</v>
      </c>
      <c r="F456" s="2">
        <v>0.94791666666666663</v>
      </c>
      <c r="G456" s="3" t="s">
        <v>31</v>
      </c>
      <c r="H456" s="3" t="s">
        <v>62</v>
      </c>
      <c r="I456" s="25" t="str">
        <f>VLOOKUP(H456,Tabla5[#All],4,FALSE)</f>
        <v>-31,3909520937826, -64,1836424491715</v>
      </c>
      <c r="J456" s="1">
        <v>26491</v>
      </c>
      <c r="K456" s="7">
        <f>INT((crimenes_cordoba_ampliado[[#This Row],[Fecha]]-crimenes_cordoba_ampliado[[#This Row],[Fecha Nac. Delincuente]])/365)</f>
        <v>47</v>
      </c>
      <c r="L456" s="7" t="str">
        <f>_xlfn.XLOOKUP(crimenes_cordoba_ampliado[[#This Row],[EDAD DELINCUENTE]],'Rango etareo'!$A$10:$A$25,'Rango etareo'!$B$10:$B$25,,-1)</f>
        <v>46 - 55</v>
      </c>
      <c r="M456" s="3" t="s">
        <v>22</v>
      </c>
      <c r="N456" s="3" t="str">
        <f>IF(crimenes_cordoba_ampliado[[#This Row],[Género Delincuente]]="Femenino","🚺","🚹")</f>
        <v>🚹</v>
      </c>
      <c r="O456">
        <v>2</v>
      </c>
      <c r="P456" s="1">
        <v>27437</v>
      </c>
      <c r="Q456" s="7">
        <f>INT((crimenes_cordoba_ampliado[[#This Row],[Fecha]]-crimenes_cordoba_ampliado[[#This Row],[Fecha Nac. Víctima]])/365)</f>
        <v>44</v>
      </c>
      <c r="R456" s="7" t="str">
        <f>_xlfn.XLOOKUP(crimenes_cordoba_ampliado[[#This Row],[EDAD VICTIMA]],'Rango etareo'!$A$2:$A$25,'Rango etareo'!$B$2:$B$25,,-1)</f>
        <v>36 - 45</v>
      </c>
      <c r="S456" s="3" t="s">
        <v>21</v>
      </c>
      <c r="T456" s="3" t="str">
        <f>IF(crimenes_cordoba_ampliado[[#This Row],[Género Víctima]]="Masculino","🚹","🚺")</f>
        <v>🚺</v>
      </c>
      <c r="U456">
        <v>2</v>
      </c>
      <c r="V456" s="3" t="s">
        <v>25</v>
      </c>
      <c r="W456" s="3" t="s">
        <v>71</v>
      </c>
      <c r="X456" s="3" t="s">
        <v>24</v>
      </c>
      <c r="Y456" s="3" t="s">
        <v>101</v>
      </c>
      <c r="Z456" s="3" t="s">
        <v>25</v>
      </c>
      <c r="AA456" s="3" t="s">
        <v>23</v>
      </c>
      <c r="AB456" s="3" t="str">
        <f>IF(crimenes_cordoba_ampliado[[#This Row],[Hubo Arresto]]="Sí", "Resuelto", "Pendiente")</f>
        <v>Pendiente</v>
      </c>
      <c r="AC456" s="3" t="s">
        <v>24</v>
      </c>
      <c r="AD456" s="3"/>
    </row>
    <row r="457" spans="1:30" x14ac:dyDescent="0.25">
      <c r="A457">
        <v>466</v>
      </c>
      <c r="B457" s="1">
        <v>43322</v>
      </c>
      <c r="C457" s="33">
        <f t="shared" si="14"/>
        <v>43322</v>
      </c>
      <c r="D457" s="34">
        <f t="shared" si="15"/>
        <v>43322</v>
      </c>
      <c r="E457" s="35" t="s">
        <v>1455</v>
      </c>
      <c r="F457" s="2">
        <v>0.89027777777777772</v>
      </c>
      <c r="G457" s="3" t="s">
        <v>81</v>
      </c>
      <c r="H457" s="3" t="s">
        <v>32</v>
      </c>
      <c r="I457" s="25" t="str">
        <f>VLOOKUP(H457,Tabla5[#All],4,FALSE)</f>
        <v>-31,4148488101991, -64,1793406489438</v>
      </c>
      <c r="J457" s="1">
        <v>26812</v>
      </c>
      <c r="K457" s="7">
        <f>INT((crimenes_cordoba_ampliado[[#This Row],[Fecha]]-crimenes_cordoba_ampliado[[#This Row],[Fecha Nac. Delincuente]])/365)</f>
        <v>45</v>
      </c>
      <c r="L457" s="7" t="str">
        <f>_xlfn.XLOOKUP(crimenes_cordoba_ampliado[[#This Row],[EDAD DELINCUENTE]],'Rango etareo'!$A$10:$A$25,'Rango etareo'!$B$10:$B$25,,-1)</f>
        <v>36 - 45</v>
      </c>
      <c r="M457" s="3" t="s">
        <v>22</v>
      </c>
      <c r="N457" s="3" t="str">
        <f>IF(crimenes_cordoba_ampliado[[#This Row],[Género Delincuente]]="Femenino","🚺","🚹")</f>
        <v>🚹</v>
      </c>
      <c r="O457">
        <v>2</v>
      </c>
      <c r="P457" s="1">
        <v>17183</v>
      </c>
      <c r="Q457" s="7">
        <f>INT((crimenes_cordoba_ampliado[[#This Row],[Fecha]]-crimenes_cordoba_ampliado[[#This Row],[Fecha Nac. Víctima]])/365)</f>
        <v>71</v>
      </c>
      <c r="R457" s="7" t="str">
        <f>_xlfn.XLOOKUP(crimenes_cordoba_ampliado[[#This Row],[EDAD VICTIMA]],'Rango etareo'!$A$2:$A$25,'Rango etareo'!$B$2:$B$25,,-1)</f>
        <v>&gt;65</v>
      </c>
      <c r="S457" s="3" t="s">
        <v>22</v>
      </c>
      <c r="T457" s="3" t="str">
        <f>IF(crimenes_cordoba_ampliado[[#This Row],[Género Víctima]]="Masculino","🚹","🚺")</f>
        <v>🚹</v>
      </c>
      <c r="U457">
        <v>3</v>
      </c>
      <c r="V457" s="3" t="s">
        <v>23</v>
      </c>
      <c r="W457" s="3" t="s">
        <v>71</v>
      </c>
      <c r="X457" s="3" t="s">
        <v>67</v>
      </c>
      <c r="Y457" s="3" t="s">
        <v>24</v>
      </c>
      <c r="Z457" s="3" t="s">
        <v>25</v>
      </c>
      <c r="AA457" s="3" t="s">
        <v>25</v>
      </c>
      <c r="AB457" s="3" t="str">
        <f>IF(crimenes_cordoba_ampliado[[#This Row],[Hubo Arresto]]="Sí", "Resuelto", "Pendiente")</f>
        <v>Resuelto</v>
      </c>
      <c r="AC457" s="3" t="s">
        <v>208</v>
      </c>
      <c r="AD457" s="3"/>
    </row>
    <row r="458" spans="1:30" x14ac:dyDescent="0.25">
      <c r="A458">
        <v>487</v>
      </c>
      <c r="B458" s="1">
        <v>43742</v>
      </c>
      <c r="C458" s="33">
        <f t="shared" si="14"/>
        <v>43742</v>
      </c>
      <c r="D458" s="34">
        <f t="shared" si="15"/>
        <v>43742</v>
      </c>
      <c r="E458" s="35" t="s">
        <v>1455</v>
      </c>
      <c r="F458" s="2">
        <v>0.51388888888888884</v>
      </c>
      <c r="G458" s="3" t="s">
        <v>35</v>
      </c>
      <c r="H458" s="3" t="s">
        <v>49</v>
      </c>
      <c r="I458" s="25" t="str">
        <f>VLOOKUP(H458,Tabla5[#All],4,FALSE)</f>
        <v>-31,4506257494184, -64,1733054344705</v>
      </c>
      <c r="J458" s="1">
        <v>37535</v>
      </c>
      <c r="K458" s="7">
        <f>INT((crimenes_cordoba_ampliado[[#This Row],[Fecha]]-crimenes_cordoba_ampliado[[#This Row],[Fecha Nac. Delincuente]])/365)</f>
        <v>17</v>
      </c>
      <c r="L458" s="7" t="str">
        <f>_xlfn.XLOOKUP(crimenes_cordoba_ampliado[[#This Row],[EDAD DELINCUENTE]],'Rango etareo'!$A$10:$A$25,'Rango etareo'!$B$10:$B$25,,-1)</f>
        <v>&lt;=17</v>
      </c>
      <c r="M458" s="3" t="s">
        <v>21</v>
      </c>
      <c r="N458" s="3" t="str">
        <f>IF(crimenes_cordoba_ampliado[[#This Row],[Género Delincuente]]="Femenino","🚺","🚹")</f>
        <v>🚺</v>
      </c>
      <c r="O458">
        <v>4</v>
      </c>
      <c r="P458" s="1">
        <v>40010</v>
      </c>
      <c r="Q458" s="7">
        <f>INT((crimenes_cordoba_ampliado[[#This Row],[Fecha]]-crimenes_cordoba_ampliado[[#This Row],[Fecha Nac. Víctima]])/365)</f>
        <v>10</v>
      </c>
      <c r="R458" s="7" t="str">
        <f>_xlfn.XLOOKUP(crimenes_cordoba_ampliado[[#This Row],[EDAD VICTIMA]],'Rango etareo'!$A$2:$A$25,'Rango etareo'!$B$2:$B$25,,-1)</f>
        <v>&lt;=17</v>
      </c>
      <c r="S458" s="3" t="s">
        <v>22</v>
      </c>
      <c r="T458" s="3" t="str">
        <f>IF(crimenes_cordoba_ampliado[[#This Row],[Género Víctima]]="Masculino","🚹","🚺")</f>
        <v>🚹</v>
      </c>
      <c r="U458">
        <v>3</v>
      </c>
      <c r="V458" s="3" t="s">
        <v>25</v>
      </c>
      <c r="W458" s="3" t="s">
        <v>24</v>
      </c>
      <c r="X458" s="3" t="s">
        <v>24</v>
      </c>
      <c r="Y458" s="3" t="s">
        <v>56</v>
      </c>
      <c r="Z458" s="3" t="s">
        <v>25</v>
      </c>
      <c r="AA458" s="3" t="s">
        <v>23</v>
      </c>
      <c r="AB458" s="3" t="str">
        <f>IF(crimenes_cordoba_ampliado[[#This Row],[Hubo Arresto]]="Sí", "Resuelto", "Pendiente")</f>
        <v>Pendiente</v>
      </c>
      <c r="AC458" s="3" t="s">
        <v>24</v>
      </c>
      <c r="AD458" s="3"/>
    </row>
    <row r="459" spans="1:30" x14ac:dyDescent="0.25">
      <c r="A459">
        <v>467</v>
      </c>
      <c r="B459" s="1">
        <v>44003</v>
      </c>
      <c r="C459" s="33">
        <f t="shared" si="14"/>
        <v>44003</v>
      </c>
      <c r="D459" s="34">
        <f t="shared" si="15"/>
        <v>44003</v>
      </c>
      <c r="E459" s="35" t="s">
        <v>1449</v>
      </c>
      <c r="F459" s="2">
        <v>0.59027777777777779</v>
      </c>
      <c r="G459" s="3" t="s">
        <v>48</v>
      </c>
      <c r="H459" s="3" t="s">
        <v>40</v>
      </c>
      <c r="I459" s="25" t="str">
        <f>VLOOKUP(H459,Tabla5[#All],4,FALSE)</f>
        <v>-31,334500143441, -64,2460773260564</v>
      </c>
      <c r="J459" s="1">
        <v>36938</v>
      </c>
      <c r="K459" s="7">
        <f>INT((crimenes_cordoba_ampliado[[#This Row],[Fecha]]-crimenes_cordoba_ampliado[[#This Row],[Fecha Nac. Delincuente]])/365)</f>
        <v>19</v>
      </c>
      <c r="L459" s="7" t="str">
        <f>_xlfn.XLOOKUP(crimenes_cordoba_ampliado[[#This Row],[EDAD DELINCUENTE]],'Rango etareo'!$A$10:$A$25,'Rango etareo'!$B$10:$B$25,,-1)</f>
        <v>18 - 25</v>
      </c>
      <c r="M459" s="3" t="s">
        <v>22</v>
      </c>
      <c r="N459" s="3" t="str">
        <f>IF(crimenes_cordoba_ampliado[[#This Row],[Género Delincuente]]="Femenino","🚺","🚹")</f>
        <v>🚹</v>
      </c>
      <c r="O459">
        <v>3</v>
      </c>
      <c r="P459" s="1">
        <v>15442</v>
      </c>
      <c r="Q459" s="7">
        <f>INT((crimenes_cordoba_ampliado[[#This Row],[Fecha]]-crimenes_cordoba_ampliado[[#This Row],[Fecha Nac. Víctima]])/365)</f>
        <v>78</v>
      </c>
      <c r="R459" s="7" t="str">
        <f>_xlfn.XLOOKUP(crimenes_cordoba_ampliado[[#This Row],[EDAD VICTIMA]],'Rango etareo'!$A$2:$A$25,'Rango etareo'!$B$2:$B$25,,-1)</f>
        <v>&gt;65</v>
      </c>
      <c r="S459" s="3" t="s">
        <v>21</v>
      </c>
      <c r="T459" s="3" t="str">
        <f>IF(crimenes_cordoba_ampliado[[#This Row],[Género Víctima]]="Masculino","🚹","🚺")</f>
        <v>🚺</v>
      </c>
      <c r="U459">
        <v>1</v>
      </c>
      <c r="V459" s="3" t="s">
        <v>23</v>
      </c>
      <c r="W459" s="3" t="s">
        <v>24</v>
      </c>
      <c r="X459" s="3" t="s">
        <v>24</v>
      </c>
      <c r="Y459" s="3" t="s">
        <v>39</v>
      </c>
      <c r="Z459" s="3" t="s">
        <v>23</v>
      </c>
      <c r="AA459" s="3" t="s">
        <v>25</v>
      </c>
      <c r="AB459" s="3" t="str">
        <f>IF(crimenes_cordoba_ampliado[[#This Row],[Hubo Arresto]]="Sí", "Resuelto", "Pendiente")</f>
        <v>Resuelto</v>
      </c>
      <c r="AC459" s="3" t="s">
        <v>153</v>
      </c>
      <c r="AD459" s="3"/>
    </row>
    <row r="460" spans="1:30" x14ac:dyDescent="0.25">
      <c r="A460">
        <v>53</v>
      </c>
      <c r="B460" s="1">
        <v>43748</v>
      </c>
      <c r="C460" s="33">
        <f t="shared" si="14"/>
        <v>43748</v>
      </c>
      <c r="D460" s="34">
        <f t="shared" si="15"/>
        <v>43748</v>
      </c>
      <c r="E460" s="35" t="s">
        <v>1454</v>
      </c>
      <c r="F460" s="2">
        <v>0.94444444444444442</v>
      </c>
      <c r="G460" s="3" t="s">
        <v>51</v>
      </c>
      <c r="H460" s="3" t="s">
        <v>58</v>
      </c>
      <c r="I460" s="25" t="str">
        <f>VLOOKUP(H460,Tabla5[#All],4,FALSE)</f>
        <v>-31,423018915313, -64,1493562190664</v>
      </c>
      <c r="J460" s="1">
        <v>37168</v>
      </c>
      <c r="K460" s="7">
        <f>INT((crimenes_cordoba_ampliado[[#This Row],[Fecha]]-crimenes_cordoba_ampliado[[#This Row],[Fecha Nac. Delincuente]])/365)</f>
        <v>18</v>
      </c>
      <c r="L460" s="7" t="str">
        <f>_xlfn.XLOOKUP(crimenes_cordoba_ampliado[[#This Row],[EDAD DELINCUENTE]],'Rango etareo'!$A$10:$A$25,'Rango etareo'!$B$10:$B$25,,-1)</f>
        <v>18 - 25</v>
      </c>
      <c r="M460" s="3" t="s">
        <v>22</v>
      </c>
      <c r="N460" s="3" t="str">
        <f>IF(crimenes_cordoba_ampliado[[#This Row],[Género Delincuente]]="Femenino","🚺","🚹")</f>
        <v>🚹</v>
      </c>
      <c r="O460">
        <v>2</v>
      </c>
      <c r="P460" s="1">
        <v>33891</v>
      </c>
      <c r="Q460" s="7">
        <f>INT((crimenes_cordoba_ampliado[[#This Row],[Fecha]]-crimenes_cordoba_ampliado[[#This Row],[Fecha Nac. Víctima]])/365)</f>
        <v>27</v>
      </c>
      <c r="R460" s="7" t="str">
        <f>_xlfn.XLOOKUP(crimenes_cordoba_ampliado[[#This Row],[EDAD VICTIMA]],'Rango etareo'!$A$2:$A$25,'Rango etareo'!$B$2:$B$25,,-1)</f>
        <v>26 - 35</v>
      </c>
      <c r="S460" s="3" t="s">
        <v>22</v>
      </c>
      <c r="T460" s="3" t="str">
        <f>IF(crimenes_cordoba_ampliado[[#This Row],[Género Víctima]]="Masculino","🚹","🚺")</f>
        <v>🚹</v>
      </c>
      <c r="U460">
        <v>1</v>
      </c>
      <c r="V460" s="3" t="s">
        <v>25</v>
      </c>
      <c r="W460" s="3" t="s">
        <v>36</v>
      </c>
      <c r="X460" s="3" t="s">
        <v>24</v>
      </c>
      <c r="Y460" s="3" t="s">
        <v>101</v>
      </c>
      <c r="Z460" s="3" t="s">
        <v>25</v>
      </c>
      <c r="AA460" s="3" t="s">
        <v>25</v>
      </c>
      <c r="AB460" s="3" t="str">
        <f>IF(crimenes_cordoba_ampliado[[#This Row],[Hubo Arresto]]="Sí", "Resuelto", "Pendiente")</f>
        <v>Pendiente</v>
      </c>
      <c r="AC460" s="3" t="s">
        <v>24</v>
      </c>
      <c r="AD460" s="3"/>
    </row>
    <row r="461" spans="1:30" x14ac:dyDescent="0.25">
      <c r="A461">
        <v>470</v>
      </c>
      <c r="B461" s="1">
        <v>42380</v>
      </c>
      <c r="C461" s="33">
        <f t="shared" si="14"/>
        <v>42380</v>
      </c>
      <c r="D461" s="34">
        <f t="shared" si="15"/>
        <v>42380</v>
      </c>
      <c r="E461" s="35" t="s">
        <v>1452</v>
      </c>
      <c r="F461" s="2">
        <v>0.41249999999999998</v>
      </c>
      <c r="G461" s="3" t="s">
        <v>48</v>
      </c>
      <c r="H461" s="3" t="s">
        <v>58</v>
      </c>
      <c r="I461" s="25" t="str">
        <f>VLOOKUP(H461,Tabla5[#All],4,FALSE)</f>
        <v>-31,423018915313, -64,1493562190664</v>
      </c>
      <c r="J461" s="1">
        <v>37183</v>
      </c>
      <c r="K461" s="7">
        <f>INT((crimenes_cordoba_ampliado[[#This Row],[Fecha]]-crimenes_cordoba_ampliado[[#This Row],[Fecha Nac. Delincuente]])/365)</f>
        <v>14</v>
      </c>
      <c r="L461" s="7" t="str">
        <f>_xlfn.XLOOKUP(crimenes_cordoba_ampliado[[#This Row],[EDAD DELINCUENTE]],'Rango etareo'!$A$10:$A$25,'Rango etareo'!$B$10:$B$25,,-1)</f>
        <v>&lt;=17</v>
      </c>
      <c r="M461" s="3" t="s">
        <v>22</v>
      </c>
      <c r="N461" s="3" t="str">
        <f>IF(crimenes_cordoba_ampliado[[#This Row],[Género Delincuente]]="Femenino","🚺","🚹")</f>
        <v>🚹</v>
      </c>
      <c r="O461">
        <v>3</v>
      </c>
      <c r="P461" s="1">
        <v>22102</v>
      </c>
      <c r="Q461" s="7">
        <f>INT((crimenes_cordoba_ampliado[[#This Row],[Fecha]]-crimenes_cordoba_ampliado[[#This Row],[Fecha Nac. Víctima]])/365)</f>
        <v>55</v>
      </c>
      <c r="R461" s="7" t="str">
        <f>_xlfn.XLOOKUP(crimenes_cordoba_ampliado[[#This Row],[EDAD VICTIMA]],'Rango etareo'!$A$2:$A$25,'Rango etareo'!$B$2:$B$25,,-1)</f>
        <v>46 - 55</v>
      </c>
      <c r="S461" s="3" t="s">
        <v>21</v>
      </c>
      <c r="T461" s="3" t="str">
        <f>IF(crimenes_cordoba_ampliado[[#This Row],[Género Víctima]]="Masculino","🚹","🚺")</f>
        <v>🚺</v>
      </c>
      <c r="U461">
        <v>1</v>
      </c>
      <c r="V461" s="3" t="s">
        <v>23</v>
      </c>
      <c r="W461" s="3" t="s">
        <v>24</v>
      </c>
      <c r="X461" s="3" t="s">
        <v>24</v>
      </c>
      <c r="Y461" s="3" t="s">
        <v>56</v>
      </c>
      <c r="Z461" s="3" t="s">
        <v>23</v>
      </c>
      <c r="AA461" s="3" t="s">
        <v>25</v>
      </c>
      <c r="AB461" s="3" t="str">
        <f>IF(crimenes_cordoba_ampliado[[#This Row],[Hubo Arresto]]="Sí", "Resuelto", "Pendiente")</f>
        <v>Resuelto</v>
      </c>
      <c r="AC461" s="3" t="s">
        <v>244</v>
      </c>
      <c r="AD461" s="3"/>
    </row>
    <row r="462" spans="1:30" x14ac:dyDescent="0.25">
      <c r="A462">
        <v>658</v>
      </c>
      <c r="B462" s="1">
        <v>43754</v>
      </c>
      <c r="C462" s="33">
        <f t="shared" si="14"/>
        <v>43754</v>
      </c>
      <c r="D462" s="34">
        <f t="shared" si="15"/>
        <v>43754</v>
      </c>
      <c r="E462" s="35" t="s">
        <v>1450</v>
      </c>
      <c r="F462" s="2">
        <v>0.39444444444444443</v>
      </c>
      <c r="G462" s="3" t="s">
        <v>51</v>
      </c>
      <c r="H462" s="3" t="s">
        <v>65</v>
      </c>
      <c r="I462" s="25" t="str">
        <f>VLOOKUP(H462,Tabla5[#All],4,FALSE)</f>
        <v>-31,4285567311661, -64,1853198281007</v>
      </c>
      <c r="J462" s="1">
        <v>37364</v>
      </c>
      <c r="K462" s="7">
        <f>INT((crimenes_cordoba_ampliado[[#This Row],[Fecha]]-crimenes_cordoba_ampliado[[#This Row],[Fecha Nac. Delincuente]])/365)</f>
        <v>17</v>
      </c>
      <c r="L462" s="7" t="str">
        <f>_xlfn.XLOOKUP(crimenes_cordoba_ampliado[[#This Row],[EDAD DELINCUENTE]],'Rango etareo'!$A$10:$A$25,'Rango etareo'!$B$10:$B$25,,-1)</f>
        <v>&lt;=17</v>
      </c>
      <c r="M462" s="3" t="s">
        <v>21</v>
      </c>
      <c r="N462" s="3" t="str">
        <f>IF(crimenes_cordoba_ampliado[[#This Row],[Género Delincuente]]="Femenino","🚺","🚹")</f>
        <v>🚺</v>
      </c>
      <c r="O462">
        <v>5</v>
      </c>
      <c r="P462" s="1">
        <v>27877</v>
      </c>
      <c r="Q462" s="7">
        <f>INT((crimenes_cordoba_ampliado[[#This Row],[Fecha]]-crimenes_cordoba_ampliado[[#This Row],[Fecha Nac. Víctima]])/365)</f>
        <v>43</v>
      </c>
      <c r="R462" s="7" t="str">
        <f>_xlfn.XLOOKUP(crimenes_cordoba_ampliado[[#This Row],[EDAD VICTIMA]],'Rango etareo'!$A$2:$A$25,'Rango etareo'!$B$2:$B$25,,-1)</f>
        <v>36 - 45</v>
      </c>
      <c r="S462" s="3" t="s">
        <v>21</v>
      </c>
      <c r="T462" s="3" t="str">
        <f>IF(crimenes_cordoba_ampliado[[#This Row],[Género Víctima]]="Masculino","🚹","🚺")</f>
        <v>🚺</v>
      </c>
      <c r="U462">
        <v>3</v>
      </c>
      <c r="V462" s="3" t="s">
        <v>25</v>
      </c>
      <c r="W462" s="3" t="s">
        <v>24</v>
      </c>
      <c r="X462" s="3" t="s">
        <v>24</v>
      </c>
      <c r="Y462" s="3" t="s">
        <v>69</v>
      </c>
      <c r="Z462" s="3" t="s">
        <v>25</v>
      </c>
      <c r="AA462" s="3" t="s">
        <v>23</v>
      </c>
      <c r="AB462" s="3" t="str">
        <f>IF(crimenes_cordoba_ampliado[[#This Row],[Hubo Arresto]]="Sí", "Resuelto", "Pendiente")</f>
        <v>Pendiente</v>
      </c>
      <c r="AC462" s="3" t="s">
        <v>24</v>
      </c>
      <c r="AD462" s="3"/>
    </row>
    <row r="463" spans="1:30" x14ac:dyDescent="0.25">
      <c r="A463">
        <v>473</v>
      </c>
      <c r="B463" s="1">
        <v>42509</v>
      </c>
      <c r="C463" s="33">
        <f t="shared" si="14"/>
        <v>42509</v>
      </c>
      <c r="D463" s="34">
        <f t="shared" si="15"/>
        <v>42509</v>
      </c>
      <c r="E463" s="35" t="s">
        <v>1454</v>
      </c>
      <c r="F463" s="2">
        <v>0.85069444444444442</v>
      </c>
      <c r="G463" s="3" t="s">
        <v>38</v>
      </c>
      <c r="H463" s="3" t="s">
        <v>28</v>
      </c>
      <c r="I463" s="25" t="str">
        <f>VLOOKUP(H463,Tabla5[#All],4,FALSE)</f>
        <v>-31,4129883640337, -64,1681120522587</v>
      </c>
      <c r="J463" s="1">
        <v>33090</v>
      </c>
      <c r="K463" s="7">
        <f>INT((crimenes_cordoba_ampliado[[#This Row],[Fecha]]-crimenes_cordoba_ampliado[[#This Row],[Fecha Nac. Delincuente]])/365)</f>
        <v>25</v>
      </c>
      <c r="L463" s="7" t="str">
        <f>_xlfn.XLOOKUP(crimenes_cordoba_ampliado[[#This Row],[EDAD DELINCUENTE]],'Rango etareo'!$A$10:$A$25,'Rango etareo'!$B$10:$B$25,,-1)</f>
        <v>18 - 25</v>
      </c>
      <c r="M463" s="3" t="s">
        <v>22</v>
      </c>
      <c r="N463" s="3" t="str">
        <f>IF(crimenes_cordoba_ampliado[[#This Row],[Género Delincuente]]="Femenino","🚺","🚹")</f>
        <v>🚹</v>
      </c>
      <c r="O463">
        <v>1</v>
      </c>
      <c r="P463" s="1">
        <v>15258</v>
      </c>
      <c r="Q463" s="7">
        <f>INT((crimenes_cordoba_ampliado[[#This Row],[Fecha]]-crimenes_cordoba_ampliado[[#This Row],[Fecha Nac. Víctima]])/365)</f>
        <v>74</v>
      </c>
      <c r="R463" s="7" t="str">
        <f>_xlfn.XLOOKUP(crimenes_cordoba_ampliado[[#This Row],[EDAD VICTIMA]],'Rango etareo'!$A$2:$A$25,'Rango etareo'!$B$2:$B$25,,-1)</f>
        <v>&gt;65</v>
      </c>
      <c r="S463" s="3" t="s">
        <v>22</v>
      </c>
      <c r="T463" s="3" t="str">
        <f>IF(crimenes_cordoba_ampliado[[#This Row],[Género Víctima]]="Masculino","🚹","🚺")</f>
        <v>🚹</v>
      </c>
      <c r="U463">
        <v>1</v>
      </c>
      <c r="V463" s="3" t="s">
        <v>23</v>
      </c>
      <c r="W463" s="3" t="s">
        <v>24</v>
      </c>
      <c r="X463" s="3" t="s">
        <v>24</v>
      </c>
      <c r="Y463" s="3" t="s">
        <v>24</v>
      </c>
      <c r="Z463" s="3" t="s">
        <v>25</v>
      </c>
      <c r="AA463" s="3" t="s">
        <v>23</v>
      </c>
      <c r="AB463" s="3" t="str">
        <f>IF(crimenes_cordoba_ampliado[[#This Row],[Hubo Arresto]]="Sí", "Resuelto", "Pendiente")</f>
        <v>Resuelto</v>
      </c>
      <c r="AC463" s="3" t="s">
        <v>245</v>
      </c>
      <c r="AD463" s="3"/>
    </row>
    <row r="464" spans="1:30" x14ac:dyDescent="0.25">
      <c r="A464">
        <v>139</v>
      </c>
      <c r="B464" s="1">
        <v>43758</v>
      </c>
      <c r="C464" s="33">
        <f t="shared" si="14"/>
        <v>43758</v>
      </c>
      <c r="D464" s="34">
        <f t="shared" si="15"/>
        <v>43758</v>
      </c>
      <c r="E464" s="35" t="s">
        <v>1449</v>
      </c>
      <c r="F464" s="2">
        <v>0.90277777777777779</v>
      </c>
      <c r="G464" s="3" t="s">
        <v>79</v>
      </c>
      <c r="H464" s="3" t="s">
        <v>60</v>
      </c>
      <c r="I464" s="25" t="str">
        <f>VLOOKUP(H464,Tabla5[#All],4,FALSE)</f>
        <v>-31,4076397196409, -64,2020170430678</v>
      </c>
      <c r="J464" s="1">
        <v>18971</v>
      </c>
      <c r="K464" s="7">
        <f>INT((crimenes_cordoba_ampliado[[#This Row],[Fecha]]-crimenes_cordoba_ampliado[[#This Row],[Fecha Nac. Delincuente]])/365)</f>
        <v>67</v>
      </c>
      <c r="L464" s="7" t="str">
        <f>_xlfn.XLOOKUP(crimenes_cordoba_ampliado[[#This Row],[EDAD DELINCUENTE]],'Rango etareo'!$A$10:$A$25,'Rango etareo'!$B$10:$B$25,,-1)</f>
        <v>&gt;65</v>
      </c>
      <c r="M464" s="3" t="s">
        <v>21</v>
      </c>
      <c r="N464" s="3" t="str">
        <f>IF(crimenes_cordoba_ampliado[[#This Row],[Género Delincuente]]="Femenino","🚺","🚹")</f>
        <v>🚺</v>
      </c>
      <c r="O464">
        <v>3</v>
      </c>
      <c r="P464" s="1">
        <v>39686</v>
      </c>
      <c r="Q464" s="7">
        <f>INT((crimenes_cordoba_ampliado[[#This Row],[Fecha]]-crimenes_cordoba_ampliado[[#This Row],[Fecha Nac. Víctima]])/365)</f>
        <v>11</v>
      </c>
      <c r="R464" s="7" t="str">
        <f>_xlfn.XLOOKUP(crimenes_cordoba_ampliado[[#This Row],[EDAD VICTIMA]],'Rango etareo'!$A$2:$A$25,'Rango etareo'!$B$2:$B$25,,-1)</f>
        <v>&lt;=17</v>
      </c>
      <c r="S464" s="3" t="s">
        <v>21</v>
      </c>
      <c r="T464" s="3" t="str">
        <f>IF(crimenes_cordoba_ampliado[[#This Row],[Género Víctima]]="Masculino","🚹","🚺")</f>
        <v>🚺</v>
      </c>
      <c r="U464">
        <v>3</v>
      </c>
      <c r="V464" s="3" t="s">
        <v>25</v>
      </c>
      <c r="W464" s="3" t="s">
        <v>83</v>
      </c>
      <c r="X464" s="3" t="s">
        <v>67</v>
      </c>
      <c r="Y464" s="3" t="s">
        <v>24</v>
      </c>
      <c r="Z464" s="3" t="s">
        <v>25</v>
      </c>
      <c r="AA464" s="3" t="s">
        <v>25</v>
      </c>
      <c r="AB464" s="3" t="str">
        <f>IF(crimenes_cordoba_ampliado[[#This Row],[Hubo Arresto]]="Sí", "Resuelto", "Pendiente")</f>
        <v>Pendiente</v>
      </c>
      <c r="AC464" s="3" t="s">
        <v>24</v>
      </c>
      <c r="AD464" s="3"/>
    </row>
    <row r="465" spans="1:30" x14ac:dyDescent="0.25">
      <c r="A465">
        <v>474</v>
      </c>
      <c r="B465" s="1">
        <v>42706</v>
      </c>
      <c r="C465" s="33">
        <f t="shared" si="14"/>
        <v>42706</v>
      </c>
      <c r="D465" s="34">
        <f t="shared" si="15"/>
        <v>42706</v>
      </c>
      <c r="E465" s="35" t="s">
        <v>1455</v>
      </c>
      <c r="F465" s="2">
        <v>0.57430555555555551</v>
      </c>
      <c r="G465" s="3" t="s">
        <v>45</v>
      </c>
      <c r="H465" s="3" t="s">
        <v>58</v>
      </c>
      <c r="I465" s="25" t="str">
        <f>VLOOKUP(H465,Tabla5[#All],4,FALSE)</f>
        <v>-31,423018915313, -64,1493562190664</v>
      </c>
      <c r="J465" s="1">
        <v>30877</v>
      </c>
      <c r="K465" s="7">
        <f>INT((crimenes_cordoba_ampliado[[#This Row],[Fecha]]-crimenes_cordoba_ampliado[[#This Row],[Fecha Nac. Delincuente]])/365)</f>
        <v>32</v>
      </c>
      <c r="L465" s="7" t="str">
        <f>_xlfn.XLOOKUP(crimenes_cordoba_ampliado[[#This Row],[EDAD DELINCUENTE]],'Rango etareo'!$A$10:$A$25,'Rango etareo'!$B$10:$B$25,,-1)</f>
        <v>26 - 35</v>
      </c>
      <c r="M465" s="3" t="s">
        <v>21</v>
      </c>
      <c r="N465" s="3" t="str">
        <f>IF(crimenes_cordoba_ampliado[[#This Row],[Género Delincuente]]="Femenino","🚺","🚹")</f>
        <v>🚺</v>
      </c>
      <c r="O465">
        <v>4</v>
      </c>
      <c r="P465" s="1">
        <v>32040</v>
      </c>
      <c r="Q465" s="7">
        <f>INT((crimenes_cordoba_ampliado[[#This Row],[Fecha]]-crimenes_cordoba_ampliado[[#This Row],[Fecha Nac. Víctima]])/365)</f>
        <v>29</v>
      </c>
      <c r="R465" s="7" t="str">
        <f>_xlfn.XLOOKUP(crimenes_cordoba_ampliado[[#This Row],[EDAD VICTIMA]],'Rango etareo'!$A$2:$A$25,'Rango etareo'!$B$2:$B$25,,-1)</f>
        <v>26 - 35</v>
      </c>
      <c r="S465" s="3" t="s">
        <v>22</v>
      </c>
      <c r="T465" s="3" t="str">
        <f>IF(crimenes_cordoba_ampliado[[#This Row],[Género Víctima]]="Masculino","🚹","🚺")</f>
        <v>🚹</v>
      </c>
      <c r="U465">
        <v>1</v>
      </c>
      <c r="V465" s="3" t="s">
        <v>23</v>
      </c>
      <c r="W465" s="3" t="s">
        <v>24</v>
      </c>
      <c r="X465" s="3" t="s">
        <v>24</v>
      </c>
      <c r="Y465" s="3" t="s">
        <v>39</v>
      </c>
      <c r="Z465" s="3" t="s">
        <v>25</v>
      </c>
      <c r="AA465" s="3" t="s">
        <v>23</v>
      </c>
      <c r="AB465" s="3" t="str">
        <f>IF(crimenes_cordoba_ampliado[[#This Row],[Hubo Arresto]]="Sí", "Resuelto", "Pendiente")</f>
        <v>Resuelto</v>
      </c>
      <c r="AC465" s="3" t="s">
        <v>246</v>
      </c>
      <c r="AD465" s="3"/>
    </row>
    <row r="466" spans="1:30" x14ac:dyDescent="0.25">
      <c r="A466">
        <v>642</v>
      </c>
      <c r="B466" s="1">
        <v>43765</v>
      </c>
      <c r="C466" s="33">
        <f t="shared" si="14"/>
        <v>43765</v>
      </c>
      <c r="D466" s="34">
        <f t="shared" si="15"/>
        <v>43765</v>
      </c>
      <c r="E466" s="35" t="s">
        <v>1449</v>
      </c>
      <c r="F466" s="2">
        <v>0.74305555555555558</v>
      </c>
      <c r="G466" s="3" t="s">
        <v>81</v>
      </c>
      <c r="H466" s="3" t="s">
        <v>55</v>
      </c>
      <c r="I466" s="25" t="str">
        <f>VLOOKUP(H466,Tabla5[#All],4,FALSE)</f>
        <v>-31,4015892433235, -64,160442876477</v>
      </c>
      <c r="J466" s="1">
        <v>36233</v>
      </c>
      <c r="K466" s="7">
        <f>INT((crimenes_cordoba_ampliado[[#This Row],[Fecha]]-crimenes_cordoba_ampliado[[#This Row],[Fecha Nac. Delincuente]])/365)</f>
        <v>20</v>
      </c>
      <c r="L466" s="7" t="str">
        <f>_xlfn.XLOOKUP(crimenes_cordoba_ampliado[[#This Row],[EDAD DELINCUENTE]],'Rango etareo'!$A$10:$A$25,'Rango etareo'!$B$10:$B$25,,-1)</f>
        <v>18 - 25</v>
      </c>
      <c r="M466" s="3" t="s">
        <v>22</v>
      </c>
      <c r="N466" s="3" t="str">
        <f>IF(crimenes_cordoba_ampliado[[#This Row],[Género Delincuente]]="Femenino","🚺","🚹")</f>
        <v>🚹</v>
      </c>
      <c r="O466">
        <v>2</v>
      </c>
      <c r="P466" s="1">
        <v>16207</v>
      </c>
      <c r="Q466" s="7">
        <f>INT((crimenes_cordoba_ampliado[[#This Row],[Fecha]]-crimenes_cordoba_ampliado[[#This Row],[Fecha Nac. Víctima]])/365)</f>
        <v>75</v>
      </c>
      <c r="R466" s="7" t="str">
        <f>_xlfn.XLOOKUP(crimenes_cordoba_ampliado[[#This Row],[EDAD VICTIMA]],'Rango etareo'!$A$2:$A$25,'Rango etareo'!$B$2:$B$25,,-1)</f>
        <v>&gt;65</v>
      </c>
      <c r="S466" s="3" t="s">
        <v>21</v>
      </c>
      <c r="T466" s="3" t="str">
        <f>IF(crimenes_cordoba_ampliado[[#This Row],[Género Víctima]]="Masculino","🚹","🚺")</f>
        <v>🚺</v>
      </c>
      <c r="U466">
        <v>1</v>
      </c>
      <c r="V466" s="3" t="s">
        <v>25</v>
      </c>
      <c r="W466" s="3" t="s">
        <v>24</v>
      </c>
      <c r="X466" s="3" t="s">
        <v>67</v>
      </c>
      <c r="Y466" s="3" t="s">
        <v>24</v>
      </c>
      <c r="Z466" s="3" t="s">
        <v>25</v>
      </c>
      <c r="AA466" s="3" t="s">
        <v>25</v>
      </c>
      <c r="AB466" s="3" t="str">
        <f>IF(crimenes_cordoba_ampliado[[#This Row],[Hubo Arresto]]="Sí", "Resuelto", "Pendiente")</f>
        <v>Pendiente</v>
      </c>
      <c r="AC466" s="3" t="s">
        <v>24</v>
      </c>
      <c r="AD466" s="3"/>
    </row>
    <row r="467" spans="1:30" x14ac:dyDescent="0.25">
      <c r="A467">
        <v>475</v>
      </c>
      <c r="B467" s="1">
        <v>44470</v>
      </c>
      <c r="C467" s="33">
        <f t="shared" si="14"/>
        <v>44470</v>
      </c>
      <c r="D467" s="34">
        <f t="shared" si="15"/>
        <v>44470</v>
      </c>
      <c r="E467" s="35" t="s">
        <v>1455</v>
      </c>
      <c r="F467" s="2">
        <v>0.6958333333333333</v>
      </c>
      <c r="G467" s="3" t="s">
        <v>27</v>
      </c>
      <c r="H467" s="3" t="s">
        <v>60</v>
      </c>
      <c r="I467" s="25" t="str">
        <f>VLOOKUP(H467,Tabla5[#All],4,FALSE)</f>
        <v>-31,4076397196409, -64,2020170430678</v>
      </c>
      <c r="J467" s="1">
        <v>29195</v>
      </c>
      <c r="K467" s="7">
        <f>INT((crimenes_cordoba_ampliado[[#This Row],[Fecha]]-crimenes_cordoba_ampliado[[#This Row],[Fecha Nac. Delincuente]])/365)</f>
        <v>41</v>
      </c>
      <c r="L467" s="7" t="str">
        <f>_xlfn.XLOOKUP(crimenes_cordoba_ampliado[[#This Row],[EDAD DELINCUENTE]],'Rango etareo'!$A$10:$A$25,'Rango etareo'!$B$10:$B$25,,-1)</f>
        <v>36 - 45</v>
      </c>
      <c r="M467" s="3" t="s">
        <v>22</v>
      </c>
      <c r="N467" s="3" t="str">
        <f>IF(crimenes_cordoba_ampliado[[#This Row],[Género Delincuente]]="Femenino","🚺","🚹")</f>
        <v>🚹</v>
      </c>
      <c r="O467">
        <v>2</v>
      </c>
      <c r="P467" s="1">
        <v>39524</v>
      </c>
      <c r="Q467" s="7">
        <f>INT((crimenes_cordoba_ampliado[[#This Row],[Fecha]]-crimenes_cordoba_ampliado[[#This Row],[Fecha Nac. Víctima]])/365)</f>
        <v>13</v>
      </c>
      <c r="R467" s="7" t="str">
        <f>_xlfn.XLOOKUP(crimenes_cordoba_ampliado[[#This Row],[EDAD VICTIMA]],'Rango etareo'!$A$2:$A$25,'Rango etareo'!$B$2:$B$25,,-1)</f>
        <v>&lt;=17</v>
      </c>
      <c r="S467" s="3" t="s">
        <v>22</v>
      </c>
      <c r="T467" s="3" t="str">
        <f>IF(crimenes_cordoba_ampliado[[#This Row],[Género Víctima]]="Masculino","🚹","🚺")</f>
        <v>🚹</v>
      </c>
      <c r="U467">
        <v>1</v>
      </c>
      <c r="V467" s="3" t="s">
        <v>23</v>
      </c>
      <c r="W467" s="3" t="s">
        <v>24</v>
      </c>
      <c r="X467" s="3" t="s">
        <v>24</v>
      </c>
      <c r="Y467" s="3" t="s">
        <v>46</v>
      </c>
      <c r="Z467" s="3" t="s">
        <v>25</v>
      </c>
      <c r="AA467" s="3" t="s">
        <v>25</v>
      </c>
      <c r="AB467" s="3" t="str">
        <f>IF(crimenes_cordoba_ampliado[[#This Row],[Hubo Arresto]]="Sí", "Resuelto", "Pendiente")</f>
        <v>Resuelto</v>
      </c>
      <c r="AC467" s="3" t="s">
        <v>227</v>
      </c>
      <c r="AD467" s="3"/>
    </row>
    <row r="468" spans="1:30" x14ac:dyDescent="0.25">
      <c r="A468">
        <v>822</v>
      </c>
      <c r="B468" s="1">
        <v>43776</v>
      </c>
      <c r="C468" s="33">
        <f t="shared" si="14"/>
        <v>43776</v>
      </c>
      <c r="D468" s="34">
        <f t="shared" si="15"/>
        <v>43776</v>
      </c>
      <c r="E468" s="35" t="s">
        <v>1454</v>
      </c>
      <c r="F468" s="2">
        <v>0.9194444444444444</v>
      </c>
      <c r="G468" s="3" t="s">
        <v>48</v>
      </c>
      <c r="H468" s="3" t="s">
        <v>55</v>
      </c>
      <c r="I468" s="25" t="str">
        <f>VLOOKUP(H468,Tabla5[#All],4,FALSE)</f>
        <v>-31,4015892433235, -64,160442876477</v>
      </c>
      <c r="J468" s="1">
        <v>27418</v>
      </c>
      <c r="K468" s="7">
        <f>INT((crimenes_cordoba_ampliado[[#This Row],[Fecha]]-crimenes_cordoba_ampliado[[#This Row],[Fecha Nac. Delincuente]])/365)</f>
        <v>44</v>
      </c>
      <c r="L468" s="7" t="str">
        <f>_xlfn.XLOOKUP(crimenes_cordoba_ampliado[[#This Row],[EDAD DELINCUENTE]],'Rango etareo'!$A$10:$A$25,'Rango etareo'!$B$10:$B$25,,-1)</f>
        <v>36 - 45</v>
      </c>
      <c r="M468" s="3" t="s">
        <v>22</v>
      </c>
      <c r="N468" s="3" t="str">
        <f>IF(crimenes_cordoba_ampliado[[#This Row],[Género Delincuente]]="Femenino","🚺","🚹")</f>
        <v>🚹</v>
      </c>
      <c r="O468">
        <v>5</v>
      </c>
      <c r="P468" s="1">
        <v>32253</v>
      </c>
      <c r="Q468" s="7">
        <f>INT((crimenes_cordoba_ampliado[[#This Row],[Fecha]]-crimenes_cordoba_ampliado[[#This Row],[Fecha Nac. Víctima]])/365)</f>
        <v>31</v>
      </c>
      <c r="R468" s="7" t="str">
        <f>_xlfn.XLOOKUP(crimenes_cordoba_ampliado[[#This Row],[EDAD VICTIMA]],'Rango etareo'!$A$2:$A$25,'Rango etareo'!$B$2:$B$25,,-1)</f>
        <v>26 - 35</v>
      </c>
      <c r="S468" s="3" t="s">
        <v>21</v>
      </c>
      <c r="T468" s="3" t="str">
        <f>IF(crimenes_cordoba_ampliado[[#This Row],[Género Víctima]]="Masculino","🚹","🚺")</f>
        <v>🚺</v>
      </c>
      <c r="U468">
        <v>3</v>
      </c>
      <c r="V468" s="3" t="s">
        <v>25</v>
      </c>
      <c r="W468" s="3" t="s">
        <v>83</v>
      </c>
      <c r="X468" s="3" t="s">
        <v>67</v>
      </c>
      <c r="Y468" s="3" t="s">
        <v>24</v>
      </c>
      <c r="Z468" s="3" t="s">
        <v>25</v>
      </c>
      <c r="AA468" s="3" t="s">
        <v>23</v>
      </c>
      <c r="AB468" s="3" t="str">
        <f>IF(crimenes_cordoba_ampliado[[#This Row],[Hubo Arresto]]="Sí", "Resuelto", "Pendiente")</f>
        <v>Pendiente</v>
      </c>
      <c r="AC468" s="3" t="s">
        <v>24</v>
      </c>
      <c r="AD468" s="3"/>
    </row>
    <row r="469" spans="1:30" x14ac:dyDescent="0.25">
      <c r="A469">
        <v>385</v>
      </c>
      <c r="B469" s="1">
        <v>43782</v>
      </c>
      <c r="C469" s="33">
        <f t="shared" si="14"/>
        <v>43782</v>
      </c>
      <c r="D469" s="34">
        <f t="shared" si="15"/>
        <v>43782</v>
      </c>
      <c r="E469" s="35" t="s">
        <v>1450</v>
      </c>
      <c r="F469" s="2">
        <v>0.8</v>
      </c>
      <c r="G469" s="3" t="s">
        <v>79</v>
      </c>
      <c r="H469" s="3" t="s">
        <v>62</v>
      </c>
      <c r="I469" s="25" t="str">
        <f>VLOOKUP(H469,Tabla5[#All],4,FALSE)</f>
        <v>-31,3909520937826, -64,1836424491715</v>
      </c>
      <c r="J469" s="1">
        <v>25660</v>
      </c>
      <c r="K469" s="7">
        <f>INT((crimenes_cordoba_ampliado[[#This Row],[Fecha]]-crimenes_cordoba_ampliado[[#This Row],[Fecha Nac. Delincuente]])/365)</f>
        <v>49</v>
      </c>
      <c r="L469" s="7" t="str">
        <f>_xlfn.XLOOKUP(crimenes_cordoba_ampliado[[#This Row],[EDAD DELINCUENTE]],'Rango etareo'!$A$10:$A$25,'Rango etareo'!$B$10:$B$25,,-1)</f>
        <v>46 - 55</v>
      </c>
      <c r="M469" s="3" t="s">
        <v>22</v>
      </c>
      <c r="N469" s="3" t="str">
        <f>IF(crimenes_cordoba_ampliado[[#This Row],[Género Delincuente]]="Femenino","🚺","🚹")</f>
        <v>🚹</v>
      </c>
      <c r="O469">
        <v>5</v>
      </c>
      <c r="P469" s="1">
        <v>19461</v>
      </c>
      <c r="Q469" s="7">
        <f>INT((crimenes_cordoba_ampliado[[#This Row],[Fecha]]-crimenes_cordoba_ampliado[[#This Row],[Fecha Nac. Víctima]])/365)</f>
        <v>66</v>
      </c>
      <c r="R469" s="7" t="str">
        <f>_xlfn.XLOOKUP(crimenes_cordoba_ampliado[[#This Row],[EDAD VICTIMA]],'Rango etareo'!$A$2:$A$25,'Rango etareo'!$B$2:$B$25,,-1)</f>
        <v>&gt;65</v>
      </c>
      <c r="S469" s="3" t="s">
        <v>22</v>
      </c>
      <c r="T469" s="3" t="str">
        <f>IF(crimenes_cordoba_ampliado[[#This Row],[Género Víctima]]="Masculino","🚹","🚺")</f>
        <v>🚹</v>
      </c>
      <c r="U469">
        <v>3</v>
      </c>
      <c r="V469" s="3" t="s">
        <v>25</v>
      </c>
      <c r="W469" s="3" t="s">
        <v>83</v>
      </c>
      <c r="X469" s="3" t="s">
        <v>24</v>
      </c>
      <c r="Y469" s="3" t="s">
        <v>101</v>
      </c>
      <c r="Z469" s="3" t="s">
        <v>25</v>
      </c>
      <c r="AA469" s="3" t="s">
        <v>25</v>
      </c>
      <c r="AB469" s="3" t="str">
        <f>IF(crimenes_cordoba_ampliado[[#This Row],[Hubo Arresto]]="Sí", "Resuelto", "Pendiente")</f>
        <v>Pendiente</v>
      </c>
      <c r="AC469" s="3" t="s">
        <v>24</v>
      </c>
      <c r="AD469" s="3"/>
    </row>
    <row r="470" spans="1:30" x14ac:dyDescent="0.25">
      <c r="A470">
        <v>477</v>
      </c>
      <c r="B470" s="1">
        <v>43458</v>
      </c>
      <c r="C470" s="33">
        <f t="shared" si="14"/>
        <v>43458</v>
      </c>
      <c r="D470" s="34">
        <f t="shared" si="15"/>
        <v>43458</v>
      </c>
      <c r="E470" s="35" t="s">
        <v>1452</v>
      </c>
      <c r="F470" s="2">
        <v>0.97430555555555554</v>
      </c>
      <c r="G470" s="3" t="s">
        <v>31</v>
      </c>
      <c r="H470" s="3" t="s">
        <v>62</v>
      </c>
      <c r="I470" s="25" t="str">
        <f>VLOOKUP(H470,Tabla5[#All],4,FALSE)</f>
        <v>-31,3909520937826, -64,1836424491715</v>
      </c>
      <c r="J470" s="1">
        <v>19334</v>
      </c>
      <c r="K470" s="7">
        <f>INT((crimenes_cordoba_ampliado[[#This Row],[Fecha]]-crimenes_cordoba_ampliado[[#This Row],[Fecha Nac. Delincuente]])/365)</f>
        <v>66</v>
      </c>
      <c r="L470" s="7" t="str">
        <f>_xlfn.XLOOKUP(crimenes_cordoba_ampliado[[#This Row],[EDAD DELINCUENTE]],'Rango etareo'!$A$10:$A$25,'Rango etareo'!$B$10:$B$25,,-1)</f>
        <v>&gt;65</v>
      </c>
      <c r="M470" s="3" t="s">
        <v>22</v>
      </c>
      <c r="N470" s="3" t="str">
        <f>IF(crimenes_cordoba_ampliado[[#This Row],[Género Delincuente]]="Femenino","🚺","🚹")</f>
        <v>🚹</v>
      </c>
      <c r="O470">
        <v>5</v>
      </c>
      <c r="P470" s="1">
        <v>32290</v>
      </c>
      <c r="Q470" s="7">
        <f>INT((crimenes_cordoba_ampliado[[#This Row],[Fecha]]-crimenes_cordoba_ampliado[[#This Row],[Fecha Nac. Víctima]])/365)</f>
        <v>30</v>
      </c>
      <c r="R470" s="7" t="str">
        <f>_xlfn.XLOOKUP(crimenes_cordoba_ampliado[[#This Row],[EDAD VICTIMA]],'Rango etareo'!$A$2:$A$25,'Rango etareo'!$B$2:$B$25,,-1)</f>
        <v>26 - 35</v>
      </c>
      <c r="S470" s="3" t="s">
        <v>22</v>
      </c>
      <c r="T470" s="3" t="str">
        <f>IF(crimenes_cordoba_ampliado[[#This Row],[Género Víctima]]="Masculino","🚹","🚺")</f>
        <v>🚹</v>
      </c>
      <c r="U470">
        <v>3</v>
      </c>
      <c r="V470" s="3" t="s">
        <v>23</v>
      </c>
      <c r="W470" s="3" t="s">
        <v>24</v>
      </c>
      <c r="X470" s="3" t="s">
        <v>24</v>
      </c>
      <c r="Y470" s="3" t="s">
        <v>98</v>
      </c>
      <c r="Z470" s="3" t="s">
        <v>23</v>
      </c>
      <c r="AA470" s="3" t="s">
        <v>23</v>
      </c>
      <c r="AB470" s="3" t="str">
        <f>IF(crimenes_cordoba_ampliado[[#This Row],[Hubo Arresto]]="Sí", "Resuelto", "Pendiente")</f>
        <v>Resuelto</v>
      </c>
      <c r="AC470" s="3" t="s">
        <v>247</v>
      </c>
      <c r="AD470" s="3"/>
    </row>
    <row r="471" spans="1:30" x14ac:dyDescent="0.25">
      <c r="A471">
        <v>517</v>
      </c>
      <c r="B471" s="1">
        <v>43786</v>
      </c>
      <c r="C471" s="33">
        <f t="shared" si="14"/>
        <v>43786</v>
      </c>
      <c r="D471" s="34">
        <f t="shared" si="15"/>
        <v>43786</v>
      </c>
      <c r="E471" s="35" t="s">
        <v>1449</v>
      </c>
      <c r="F471" s="2">
        <v>0.99930555555555556</v>
      </c>
      <c r="G471" s="3" t="s">
        <v>42</v>
      </c>
      <c r="H471" s="3" t="s">
        <v>58</v>
      </c>
      <c r="I471" s="25" t="str">
        <f>VLOOKUP(H471,Tabla5[#All],4,FALSE)</f>
        <v>-31,423018915313, -64,1493562190664</v>
      </c>
      <c r="J471" s="1">
        <v>23287</v>
      </c>
      <c r="K471" s="7">
        <f>INT((crimenes_cordoba_ampliado[[#This Row],[Fecha]]-crimenes_cordoba_ampliado[[#This Row],[Fecha Nac. Delincuente]])/365)</f>
        <v>56</v>
      </c>
      <c r="L471" s="7" t="str">
        <f>_xlfn.XLOOKUP(crimenes_cordoba_ampliado[[#This Row],[EDAD DELINCUENTE]],'Rango etareo'!$A$10:$A$25,'Rango etareo'!$B$10:$B$25,,-1)</f>
        <v>56 - 65</v>
      </c>
      <c r="M471" s="3" t="s">
        <v>21</v>
      </c>
      <c r="N471" s="3" t="str">
        <f>IF(crimenes_cordoba_ampliado[[#This Row],[Género Delincuente]]="Femenino","🚺","🚹")</f>
        <v>🚺</v>
      </c>
      <c r="O471">
        <v>2</v>
      </c>
      <c r="P471" s="1">
        <v>35683</v>
      </c>
      <c r="Q471" s="7">
        <f>INT((crimenes_cordoba_ampliado[[#This Row],[Fecha]]-crimenes_cordoba_ampliado[[#This Row],[Fecha Nac. Víctima]])/365)</f>
        <v>22</v>
      </c>
      <c r="R471" s="7" t="str">
        <f>_xlfn.XLOOKUP(crimenes_cordoba_ampliado[[#This Row],[EDAD VICTIMA]],'Rango etareo'!$A$2:$A$25,'Rango etareo'!$B$2:$B$25,,-1)</f>
        <v>18 - 25</v>
      </c>
      <c r="S471" s="3" t="s">
        <v>22</v>
      </c>
      <c r="T471" s="3" t="str">
        <f>IF(crimenes_cordoba_ampliado[[#This Row],[Género Víctima]]="Masculino","🚹","🚺")</f>
        <v>🚹</v>
      </c>
      <c r="U471">
        <v>2</v>
      </c>
      <c r="V471" s="3" t="s">
        <v>25</v>
      </c>
      <c r="W471" s="3" t="s">
        <v>24</v>
      </c>
      <c r="X471" s="3" t="s">
        <v>24</v>
      </c>
      <c r="Y471" s="3" t="s">
        <v>46</v>
      </c>
      <c r="Z471" s="3" t="s">
        <v>25</v>
      </c>
      <c r="AA471" s="3" t="s">
        <v>23</v>
      </c>
      <c r="AB471" s="3" t="str">
        <f>IF(crimenes_cordoba_ampliado[[#This Row],[Hubo Arresto]]="Sí", "Resuelto", "Pendiente")</f>
        <v>Pendiente</v>
      </c>
      <c r="AC471" s="3" t="s">
        <v>24</v>
      </c>
      <c r="AD471" s="3"/>
    </row>
    <row r="472" spans="1:30" x14ac:dyDescent="0.25">
      <c r="A472">
        <v>479</v>
      </c>
      <c r="B472" s="1">
        <v>42429</v>
      </c>
      <c r="C472" s="33">
        <f t="shared" si="14"/>
        <v>42429</v>
      </c>
      <c r="D472" s="34">
        <f t="shared" si="15"/>
        <v>42429</v>
      </c>
      <c r="E472" s="35" t="s">
        <v>1452</v>
      </c>
      <c r="F472" s="2">
        <v>0.15902777777777777</v>
      </c>
      <c r="G472" s="3" t="s">
        <v>35</v>
      </c>
      <c r="H472" s="3" t="s">
        <v>62</v>
      </c>
      <c r="I472" s="25" t="str">
        <f>VLOOKUP(H472,Tabla5[#All],4,FALSE)</f>
        <v>-31,3909520937826, -64,1836424491715</v>
      </c>
      <c r="J472" s="1">
        <v>37037</v>
      </c>
      <c r="K472" s="7">
        <f>INT((crimenes_cordoba_ampliado[[#This Row],[Fecha]]-crimenes_cordoba_ampliado[[#This Row],[Fecha Nac. Delincuente]])/365)</f>
        <v>14</v>
      </c>
      <c r="L472" s="7" t="str">
        <f>_xlfn.XLOOKUP(crimenes_cordoba_ampliado[[#This Row],[EDAD DELINCUENTE]],'Rango etareo'!$A$10:$A$25,'Rango etareo'!$B$10:$B$25,,-1)</f>
        <v>&lt;=17</v>
      </c>
      <c r="M472" s="3" t="s">
        <v>22</v>
      </c>
      <c r="N472" s="3" t="str">
        <f>IF(crimenes_cordoba_ampliado[[#This Row],[Género Delincuente]]="Femenino","🚺","🚹")</f>
        <v>🚹</v>
      </c>
      <c r="O472">
        <v>1</v>
      </c>
      <c r="P472" s="1">
        <v>33265</v>
      </c>
      <c r="Q472" s="7">
        <f>INT((crimenes_cordoba_ampliado[[#This Row],[Fecha]]-crimenes_cordoba_ampliado[[#This Row],[Fecha Nac. Víctima]])/365)</f>
        <v>25</v>
      </c>
      <c r="R472" s="7" t="str">
        <f>_xlfn.XLOOKUP(crimenes_cordoba_ampliado[[#This Row],[EDAD VICTIMA]],'Rango etareo'!$A$2:$A$25,'Rango etareo'!$B$2:$B$25,,-1)</f>
        <v>18 - 25</v>
      </c>
      <c r="S472" s="3" t="s">
        <v>22</v>
      </c>
      <c r="T472" s="3" t="str">
        <f>IF(crimenes_cordoba_ampliado[[#This Row],[Género Víctima]]="Masculino","🚹","🚺")</f>
        <v>🚹</v>
      </c>
      <c r="U472">
        <v>3</v>
      </c>
      <c r="V472" s="3" t="s">
        <v>23</v>
      </c>
      <c r="W472" s="3" t="s">
        <v>24</v>
      </c>
      <c r="X472" s="3" t="s">
        <v>24</v>
      </c>
      <c r="Y472" s="3" t="s">
        <v>106</v>
      </c>
      <c r="Z472" s="3" t="s">
        <v>25</v>
      </c>
      <c r="AA472" s="3" t="s">
        <v>25</v>
      </c>
      <c r="AB472" s="3" t="str">
        <f>IF(crimenes_cordoba_ampliado[[#This Row],[Hubo Arresto]]="Sí", "Resuelto", "Pendiente")</f>
        <v>Resuelto</v>
      </c>
      <c r="AC472" s="3" t="s">
        <v>248</v>
      </c>
      <c r="AD472" s="3"/>
    </row>
    <row r="473" spans="1:30" x14ac:dyDescent="0.25">
      <c r="A473">
        <v>770</v>
      </c>
      <c r="B473" s="1">
        <v>43790</v>
      </c>
      <c r="C473" s="33">
        <f t="shared" si="14"/>
        <v>43790</v>
      </c>
      <c r="D473" s="34">
        <f t="shared" si="15"/>
        <v>43790</v>
      </c>
      <c r="E473" s="35" t="s">
        <v>1454</v>
      </c>
      <c r="F473" s="2">
        <v>7.3611111111111113E-2</v>
      </c>
      <c r="G473" s="3" t="s">
        <v>38</v>
      </c>
      <c r="H473" s="3" t="s">
        <v>40</v>
      </c>
      <c r="I473" s="25" t="str">
        <f>VLOOKUP(H473,Tabla5[#All],4,FALSE)</f>
        <v>-31,334500143441, -64,2460773260564</v>
      </c>
      <c r="J473" s="1">
        <v>35287</v>
      </c>
      <c r="K473" s="7">
        <f>INT((crimenes_cordoba_ampliado[[#This Row],[Fecha]]-crimenes_cordoba_ampliado[[#This Row],[Fecha Nac. Delincuente]])/365)</f>
        <v>23</v>
      </c>
      <c r="L473" s="7" t="str">
        <f>_xlfn.XLOOKUP(crimenes_cordoba_ampliado[[#This Row],[EDAD DELINCUENTE]],'Rango etareo'!$A$10:$A$25,'Rango etareo'!$B$10:$B$25,,-1)</f>
        <v>18 - 25</v>
      </c>
      <c r="M473" s="3" t="s">
        <v>21</v>
      </c>
      <c r="N473" s="3" t="str">
        <f>IF(crimenes_cordoba_ampliado[[#This Row],[Género Delincuente]]="Femenino","🚺","🚹")</f>
        <v>🚺</v>
      </c>
      <c r="O473">
        <v>3</v>
      </c>
      <c r="P473" s="1">
        <v>42317</v>
      </c>
      <c r="Q473" s="7">
        <f>INT((crimenes_cordoba_ampliado[[#This Row],[Fecha]]-crimenes_cordoba_ampliado[[#This Row],[Fecha Nac. Víctima]])/365)</f>
        <v>4</v>
      </c>
      <c r="R473" s="7" t="str">
        <f>_xlfn.XLOOKUP(crimenes_cordoba_ampliado[[#This Row],[EDAD VICTIMA]],'Rango etareo'!$A$2:$A$25,'Rango etareo'!$B$2:$B$25,,-1)</f>
        <v>&lt;=17</v>
      </c>
      <c r="S473" s="3" t="s">
        <v>21</v>
      </c>
      <c r="T473" s="3" t="str">
        <f>IF(crimenes_cordoba_ampliado[[#This Row],[Género Víctima]]="Masculino","🚹","🚺")</f>
        <v>🚺</v>
      </c>
      <c r="U473">
        <v>1</v>
      </c>
      <c r="V473" s="3" t="s">
        <v>25</v>
      </c>
      <c r="W473" s="3" t="s">
        <v>24</v>
      </c>
      <c r="X473" s="3" t="s">
        <v>67</v>
      </c>
      <c r="Y473" s="3" t="s">
        <v>24</v>
      </c>
      <c r="Z473" s="3" t="s">
        <v>25</v>
      </c>
      <c r="AA473" s="3" t="s">
        <v>25</v>
      </c>
      <c r="AB473" s="3" t="str">
        <f>IF(crimenes_cordoba_ampliado[[#This Row],[Hubo Arresto]]="Sí", "Resuelto", "Pendiente")</f>
        <v>Pendiente</v>
      </c>
      <c r="AC473" s="3" t="s">
        <v>24</v>
      </c>
      <c r="AD473" s="3"/>
    </row>
    <row r="474" spans="1:30" x14ac:dyDescent="0.25">
      <c r="A474">
        <v>478</v>
      </c>
      <c r="B474" s="1">
        <v>43795</v>
      </c>
      <c r="C474" s="33">
        <f t="shared" si="14"/>
        <v>43795</v>
      </c>
      <c r="D474" s="34">
        <f t="shared" si="15"/>
        <v>43795</v>
      </c>
      <c r="E474" s="35" t="s">
        <v>1453</v>
      </c>
      <c r="F474" s="2">
        <v>0.57361111111111107</v>
      </c>
      <c r="G474" s="3" t="s">
        <v>19</v>
      </c>
      <c r="H474" s="3" t="s">
        <v>49</v>
      </c>
      <c r="I474" s="25" t="str">
        <f>VLOOKUP(H474,Tabla5[#All],4,FALSE)</f>
        <v>-31,4506257494184, -64,1733054344705</v>
      </c>
      <c r="J474" s="1">
        <v>30249</v>
      </c>
      <c r="K474" s="7">
        <f>INT((crimenes_cordoba_ampliado[[#This Row],[Fecha]]-crimenes_cordoba_ampliado[[#This Row],[Fecha Nac. Delincuente]])/365)</f>
        <v>37</v>
      </c>
      <c r="L474" s="7" t="str">
        <f>_xlfn.XLOOKUP(crimenes_cordoba_ampliado[[#This Row],[EDAD DELINCUENTE]],'Rango etareo'!$A$10:$A$25,'Rango etareo'!$B$10:$B$25,,-1)</f>
        <v>36 - 45</v>
      </c>
      <c r="M474" s="3" t="s">
        <v>21</v>
      </c>
      <c r="N474" s="3" t="str">
        <f>IF(crimenes_cordoba_ampliado[[#This Row],[Género Delincuente]]="Femenino","🚺","🚹")</f>
        <v>🚺</v>
      </c>
      <c r="O474">
        <v>2</v>
      </c>
      <c r="P474" s="1">
        <v>16512</v>
      </c>
      <c r="Q474" s="7">
        <f>INT((crimenes_cordoba_ampliado[[#This Row],[Fecha]]-crimenes_cordoba_ampliado[[#This Row],[Fecha Nac. Víctima]])/365)</f>
        <v>74</v>
      </c>
      <c r="R474" s="7" t="str">
        <f>_xlfn.XLOOKUP(crimenes_cordoba_ampliado[[#This Row],[EDAD VICTIMA]],'Rango etareo'!$A$2:$A$25,'Rango etareo'!$B$2:$B$25,,-1)</f>
        <v>&gt;65</v>
      </c>
      <c r="S474" s="3" t="s">
        <v>21</v>
      </c>
      <c r="T474" s="3" t="str">
        <f>IF(crimenes_cordoba_ampliado[[#This Row],[Género Víctima]]="Masculino","🚹","🚺")</f>
        <v>🚺</v>
      </c>
      <c r="U474">
        <v>1</v>
      </c>
      <c r="V474" s="3" t="s">
        <v>25</v>
      </c>
      <c r="W474" s="3" t="s">
        <v>24</v>
      </c>
      <c r="X474" s="3" t="s">
        <v>24</v>
      </c>
      <c r="Y474" s="3" t="s">
        <v>113</v>
      </c>
      <c r="Z474" s="3" t="s">
        <v>25</v>
      </c>
      <c r="AA474" s="3" t="s">
        <v>23</v>
      </c>
      <c r="AB474" s="3" t="str">
        <f>IF(crimenes_cordoba_ampliado[[#This Row],[Hubo Arresto]]="Sí", "Resuelto", "Pendiente")</f>
        <v>Pendiente</v>
      </c>
      <c r="AC474" s="3" t="s">
        <v>24</v>
      </c>
      <c r="AD474" s="3"/>
    </row>
    <row r="475" spans="1:30" x14ac:dyDescent="0.25">
      <c r="A475">
        <v>407</v>
      </c>
      <c r="B475" s="1">
        <v>43797</v>
      </c>
      <c r="C475" s="33">
        <f t="shared" si="14"/>
        <v>43797</v>
      </c>
      <c r="D475" s="34">
        <f t="shared" si="15"/>
        <v>43797</v>
      </c>
      <c r="E475" s="35" t="s">
        <v>1454</v>
      </c>
      <c r="F475" s="2">
        <v>0.76041666666666663</v>
      </c>
      <c r="G475" s="3" t="s">
        <v>27</v>
      </c>
      <c r="H475" s="3" t="s">
        <v>65</v>
      </c>
      <c r="I475" s="25" t="str">
        <f>VLOOKUP(H475,Tabla5[#All],4,FALSE)</f>
        <v>-31,4285567311661, -64,1853198281007</v>
      </c>
      <c r="J475" s="1">
        <v>29972</v>
      </c>
      <c r="K475" s="7">
        <f>INT((crimenes_cordoba_ampliado[[#This Row],[Fecha]]-crimenes_cordoba_ampliado[[#This Row],[Fecha Nac. Delincuente]])/365)</f>
        <v>37</v>
      </c>
      <c r="L475" s="7" t="str">
        <f>_xlfn.XLOOKUP(crimenes_cordoba_ampliado[[#This Row],[EDAD DELINCUENTE]],'Rango etareo'!$A$10:$A$25,'Rango etareo'!$B$10:$B$25,,-1)</f>
        <v>36 - 45</v>
      </c>
      <c r="M475" s="3" t="s">
        <v>21</v>
      </c>
      <c r="N475" s="3" t="str">
        <f>IF(crimenes_cordoba_ampliado[[#This Row],[Género Delincuente]]="Femenino","🚺","🚹")</f>
        <v>🚺</v>
      </c>
      <c r="O475">
        <v>4</v>
      </c>
      <c r="P475" s="1">
        <v>18598</v>
      </c>
      <c r="Q475" s="7">
        <f>INT((crimenes_cordoba_ampliado[[#This Row],[Fecha]]-crimenes_cordoba_ampliado[[#This Row],[Fecha Nac. Víctima]])/365)</f>
        <v>69</v>
      </c>
      <c r="R475" s="7" t="str">
        <f>_xlfn.XLOOKUP(crimenes_cordoba_ampliado[[#This Row],[EDAD VICTIMA]],'Rango etareo'!$A$2:$A$25,'Rango etareo'!$B$2:$B$25,,-1)</f>
        <v>&gt;65</v>
      </c>
      <c r="S475" s="3" t="s">
        <v>22</v>
      </c>
      <c r="T475" s="3" t="str">
        <f>IF(crimenes_cordoba_ampliado[[#This Row],[Género Víctima]]="Masculino","🚹","🚺")</f>
        <v>🚹</v>
      </c>
      <c r="U475">
        <v>3</v>
      </c>
      <c r="V475" s="3" t="s">
        <v>25</v>
      </c>
      <c r="W475" s="3" t="s">
        <v>36</v>
      </c>
      <c r="X475" s="3" t="s">
        <v>29</v>
      </c>
      <c r="Y475" s="3" t="s">
        <v>24</v>
      </c>
      <c r="Z475" s="3" t="s">
        <v>23</v>
      </c>
      <c r="AA475" s="3" t="s">
        <v>25</v>
      </c>
      <c r="AB475" s="3" t="str">
        <f>IF(crimenes_cordoba_ampliado[[#This Row],[Hubo Arresto]]="Sí", "Resuelto", "Pendiente")</f>
        <v>Pendiente</v>
      </c>
      <c r="AC475" s="3" t="s">
        <v>24</v>
      </c>
      <c r="AD475" s="3"/>
    </row>
    <row r="476" spans="1:30" x14ac:dyDescent="0.25">
      <c r="A476">
        <v>610</v>
      </c>
      <c r="B476" s="1">
        <v>43800</v>
      </c>
      <c r="C476" s="33">
        <f t="shared" si="14"/>
        <v>43800</v>
      </c>
      <c r="D476" s="34">
        <f t="shared" si="15"/>
        <v>43800</v>
      </c>
      <c r="E476" s="35" t="s">
        <v>1449</v>
      </c>
      <c r="F476" s="2">
        <v>0.46041666666666664</v>
      </c>
      <c r="G476" s="3" t="s">
        <v>19</v>
      </c>
      <c r="H476" s="3" t="s">
        <v>55</v>
      </c>
      <c r="I476" s="25" t="str">
        <f>VLOOKUP(H476,Tabla5[#All],4,FALSE)</f>
        <v>-31,4015892433235, -64,160442876477</v>
      </c>
      <c r="J476" s="1">
        <v>34693</v>
      </c>
      <c r="K476" s="7">
        <f>INT((crimenes_cordoba_ampliado[[#This Row],[Fecha]]-crimenes_cordoba_ampliado[[#This Row],[Fecha Nac. Delincuente]])/365)</f>
        <v>24</v>
      </c>
      <c r="L476" s="7" t="str">
        <f>_xlfn.XLOOKUP(crimenes_cordoba_ampliado[[#This Row],[EDAD DELINCUENTE]],'Rango etareo'!$A$10:$A$25,'Rango etareo'!$B$10:$B$25,,-1)</f>
        <v>18 - 25</v>
      </c>
      <c r="M476" s="3" t="s">
        <v>21</v>
      </c>
      <c r="N476" s="3" t="str">
        <f>IF(crimenes_cordoba_ampliado[[#This Row],[Género Delincuente]]="Femenino","🚺","🚹")</f>
        <v>🚺</v>
      </c>
      <c r="O476">
        <v>2</v>
      </c>
      <c r="P476" s="1">
        <v>29081</v>
      </c>
      <c r="Q476" s="7">
        <f>INT((crimenes_cordoba_ampliado[[#This Row],[Fecha]]-crimenes_cordoba_ampliado[[#This Row],[Fecha Nac. Víctima]])/365)</f>
        <v>40</v>
      </c>
      <c r="R476" s="7" t="str">
        <f>_xlfn.XLOOKUP(crimenes_cordoba_ampliado[[#This Row],[EDAD VICTIMA]],'Rango etareo'!$A$2:$A$25,'Rango etareo'!$B$2:$B$25,,-1)</f>
        <v>36 - 45</v>
      </c>
      <c r="S476" s="3" t="s">
        <v>21</v>
      </c>
      <c r="T476" s="3" t="str">
        <f>IF(crimenes_cordoba_ampliado[[#This Row],[Género Víctima]]="Masculino","🚹","🚺")</f>
        <v>🚺</v>
      </c>
      <c r="U476">
        <v>3</v>
      </c>
      <c r="V476" s="3" t="s">
        <v>25</v>
      </c>
      <c r="W476" s="3" t="s">
        <v>24</v>
      </c>
      <c r="X476" s="3" t="s">
        <v>24</v>
      </c>
      <c r="Y476" s="3" t="s">
        <v>43</v>
      </c>
      <c r="Z476" s="3" t="s">
        <v>25</v>
      </c>
      <c r="AA476" s="3" t="s">
        <v>25</v>
      </c>
      <c r="AB476" s="3" t="str">
        <f>IF(crimenes_cordoba_ampliado[[#This Row],[Hubo Arresto]]="Sí", "Resuelto", "Pendiente")</f>
        <v>Pendiente</v>
      </c>
      <c r="AC476" s="3" t="s">
        <v>24</v>
      </c>
      <c r="AD476" s="3"/>
    </row>
    <row r="477" spans="1:30" x14ac:dyDescent="0.25">
      <c r="A477">
        <v>146</v>
      </c>
      <c r="B477" s="1">
        <v>43801</v>
      </c>
      <c r="C477" s="33">
        <f t="shared" si="14"/>
        <v>43801</v>
      </c>
      <c r="D477" s="34">
        <f t="shared" si="15"/>
        <v>43801</v>
      </c>
      <c r="E477" s="35" t="s">
        <v>1452</v>
      </c>
      <c r="F477" s="2">
        <v>0.64583333333333337</v>
      </c>
      <c r="G477" s="3" t="s">
        <v>54</v>
      </c>
      <c r="H477" s="3" t="s">
        <v>28</v>
      </c>
      <c r="I477" s="25" t="str">
        <f>VLOOKUP(H477,Tabla5[#All],4,FALSE)</f>
        <v>-31,4129883640337, -64,1681120522587</v>
      </c>
      <c r="J477" s="1">
        <v>18360</v>
      </c>
      <c r="K477" s="7">
        <f>INT((crimenes_cordoba_ampliado[[#This Row],[Fecha]]-crimenes_cordoba_ampliado[[#This Row],[Fecha Nac. Delincuente]])/365)</f>
        <v>69</v>
      </c>
      <c r="L477" s="7" t="str">
        <f>_xlfn.XLOOKUP(crimenes_cordoba_ampliado[[#This Row],[EDAD DELINCUENTE]],'Rango etareo'!$A$10:$A$25,'Rango etareo'!$B$10:$B$25,,-1)</f>
        <v>&gt;65</v>
      </c>
      <c r="M477" s="3" t="s">
        <v>21</v>
      </c>
      <c r="N477" s="3" t="str">
        <f>IF(crimenes_cordoba_ampliado[[#This Row],[Género Delincuente]]="Femenino","🚺","🚹")</f>
        <v>🚺</v>
      </c>
      <c r="O477">
        <v>1</v>
      </c>
      <c r="P477" s="1">
        <v>30705</v>
      </c>
      <c r="Q477" s="7">
        <f>INT((crimenes_cordoba_ampliado[[#This Row],[Fecha]]-crimenes_cordoba_ampliado[[#This Row],[Fecha Nac. Víctima]])/365)</f>
        <v>35</v>
      </c>
      <c r="R477" s="7" t="str">
        <f>_xlfn.XLOOKUP(crimenes_cordoba_ampliado[[#This Row],[EDAD VICTIMA]],'Rango etareo'!$A$2:$A$25,'Rango etareo'!$B$2:$B$25,,-1)</f>
        <v>26 - 35</v>
      </c>
      <c r="S477" s="3" t="s">
        <v>21</v>
      </c>
      <c r="T477" s="3" t="str">
        <f>IF(crimenes_cordoba_ampliado[[#This Row],[Género Víctima]]="Masculino","🚹","🚺")</f>
        <v>🚺</v>
      </c>
      <c r="U477">
        <v>2</v>
      </c>
      <c r="V477" s="3" t="s">
        <v>25</v>
      </c>
      <c r="W477" s="3" t="s">
        <v>24</v>
      </c>
      <c r="X477" s="3" t="s">
        <v>24</v>
      </c>
      <c r="Y477" s="3" t="s">
        <v>89</v>
      </c>
      <c r="Z477" s="3" t="s">
        <v>23</v>
      </c>
      <c r="AA477" s="3" t="s">
        <v>25</v>
      </c>
      <c r="AB477" s="3" t="str">
        <f>IF(crimenes_cordoba_ampliado[[#This Row],[Hubo Arresto]]="Sí", "Resuelto", "Pendiente")</f>
        <v>Pendiente</v>
      </c>
      <c r="AC477" s="3" t="s">
        <v>24</v>
      </c>
      <c r="AD477" s="3"/>
    </row>
    <row r="478" spans="1:30" x14ac:dyDescent="0.25">
      <c r="A478">
        <v>480</v>
      </c>
      <c r="B478" s="1">
        <v>45300</v>
      </c>
      <c r="C478" s="33">
        <f t="shared" si="14"/>
        <v>45300</v>
      </c>
      <c r="D478" s="34">
        <f t="shared" si="15"/>
        <v>45300</v>
      </c>
      <c r="E478" s="35" t="s">
        <v>1453</v>
      </c>
      <c r="F478" s="2">
        <v>0.4597222222222222</v>
      </c>
      <c r="G478" s="3" t="s">
        <v>38</v>
      </c>
      <c r="H478" s="3" t="s">
        <v>55</v>
      </c>
      <c r="I478" s="25" t="str">
        <f>VLOOKUP(H478,Tabla5[#All],4,FALSE)</f>
        <v>-31,4015892433235, -64,160442876477</v>
      </c>
      <c r="J478" s="1">
        <v>31248</v>
      </c>
      <c r="K478" s="7">
        <f>INT((crimenes_cordoba_ampliado[[#This Row],[Fecha]]-crimenes_cordoba_ampliado[[#This Row],[Fecha Nac. Delincuente]])/365)</f>
        <v>38</v>
      </c>
      <c r="L478" s="7" t="str">
        <f>_xlfn.XLOOKUP(crimenes_cordoba_ampliado[[#This Row],[EDAD DELINCUENTE]],'Rango etareo'!$A$10:$A$25,'Rango etareo'!$B$10:$B$25,,-1)</f>
        <v>36 - 45</v>
      </c>
      <c r="M478" s="3" t="s">
        <v>21</v>
      </c>
      <c r="N478" s="3" t="str">
        <f>IF(crimenes_cordoba_ampliado[[#This Row],[Género Delincuente]]="Femenino","🚺","🚹")</f>
        <v>🚺</v>
      </c>
      <c r="O478">
        <v>1</v>
      </c>
      <c r="P478" s="1">
        <v>32015</v>
      </c>
      <c r="Q478" s="7">
        <f>INT((crimenes_cordoba_ampliado[[#This Row],[Fecha]]-crimenes_cordoba_ampliado[[#This Row],[Fecha Nac. Víctima]])/365)</f>
        <v>36</v>
      </c>
      <c r="R478" s="7" t="str">
        <f>_xlfn.XLOOKUP(crimenes_cordoba_ampliado[[#This Row],[EDAD VICTIMA]],'Rango etareo'!$A$2:$A$25,'Rango etareo'!$B$2:$B$25,,-1)</f>
        <v>36 - 45</v>
      </c>
      <c r="S478" s="3" t="s">
        <v>22</v>
      </c>
      <c r="T478" s="3" t="str">
        <f>IF(crimenes_cordoba_ampliado[[#This Row],[Género Víctima]]="Masculino","🚹","🚺")</f>
        <v>🚹</v>
      </c>
      <c r="U478">
        <v>2</v>
      </c>
      <c r="V478" s="3" t="s">
        <v>23</v>
      </c>
      <c r="W478" s="3" t="s">
        <v>24</v>
      </c>
      <c r="X478" s="3" t="s">
        <v>24</v>
      </c>
      <c r="Y478" s="3" t="s">
        <v>43</v>
      </c>
      <c r="Z478" s="3" t="s">
        <v>23</v>
      </c>
      <c r="AA478" s="3" t="s">
        <v>25</v>
      </c>
      <c r="AB478" s="3" t="str">
        <f>IF(crimenes_cordoba_ampliado[[#This Row],[Hubo Arresto]]="Sí", "Resuelto", "Pendiente")</f>
        <v>Resuelto</v>
      </c>
      <c r="AC478" s="3" t="s">
        <v>131</v>
      </c>
      <c r="AD478" s="3"/>
    </row>
    <row r="479" spans="1:30" x14ac:dyDescent="0.25">
      <c r="A479">
        <v>481</v>
      </c>
      <c r="B479" s="1">
        <v>43315</v>
      </c>
      <c r="C479" s="33">
        <f t="shared" si="14"/>
        <v>43315</v>
      </c>
      <c r="D479" s="34">
        <f t="shared" si="15"/>
        <v>43315</v>
      </c>
      <c r="E479" s="35" t="s">
        <v>1455</v>
      </c>
      <c r="F479" s="2">
        <v>0.54374999999999996</v>
      </c>
      <c r="G479" s="3" t="s">
        <v>19</v>
      </c>
      <c r="H479" s="3" t="s">
        <v>60</v>
      </c>
      <c r="I479" s="25" t="str">
        <f>VLOOKUP(H479,Tabla5[#All],4,FALSE)</f>
        <v>-31,4076397196409, -64,2020170430678</v>
      </c>
      <c r="J479" s="1">
        <v>36540</v>
      </c>
      <c r="K479" s="7">
        <f>INT((crimenes_cordoba_ampliado[[#This Row],[Fecha]]-crimenes_cordoba_ampliado[[#This Row],[Fecha Nac. Delincuente]])/365)</f>
        <v>18</v>
      </c>
      <c r="L479" s="7" t="str">
        <f>_xlfn.XLOOKUP(crimenes_cordoba_ampliado[[#This Row],[EDAD DELINCUENTE]],'Rango etareo'!$A$10:$A$25,'Rango etareo'!$B$10:$B$25,,-1)</f>
        <v>18 - 25</v>
      </c>
      <c r="M479" s="3" t="s">
        <v>21</v>
      </c>
      <c r="N479" s="3" t="str">
        <f>IF(crimenes_cordoba_ampliado[[#This Row],[Género Delincuente]]="Femenino","🚺","🚹")</f>
        <v>🚺</v>
      </c>
      <c r="O479">
        <v>1</v>
      </c>
      <c r="P479" s="1">
        <v>17001</v>
      </c>
      <c r="Q479" s="7">
        <f>INT((crimenes_cordoba_ampliado[[#This Row],[Fecha]]-crimenes_cordoba_ampliado[[#This Row],[Fecha Nac. Víctima]])/365)</f>
        <v>72</v>
      </c>
      <c r="R479" s="7" t="str">
        <f>_xlfn.XLOOKUP(crimenes_cordoba_ampliado[[#This Row],[EDAD VICTIMA]],'Rango etareo'!$A$2:$A$25,'Rango etareo'!$B$2:$B$25,,-1)</f>
        <v>&gt;65</v>
      </c>
      <c r="S479" s="3" t="s">
        <v>22</v>
      </c>
      <c r="T479" s="3" t="str">
        <f>IF(crimenes_cordoba_ampliado[[#This Row],[Género Víctima]]="Masculino","🚹","🚺")</f>
        <v>🚹</v>
      </c>
      <c r="U479">
        <v>1</v>
      </c>
      <c r="V479" s="3" t="s">
        <v>23</v>
      </c>
      <c r="W479" s="3" t="s">
        <v>24</v>
      </c>
      <c r="X479" s="3" t="s">
        <v>24</v>
      </c>
      <c r="Y479" s="3" t="s">
        <v>56</v>
      </c>
      <c r="Z479" s="3" t="s">
        <v>25</v>
      </c>
      <c r="AA479" s="3" t="s">
        <v>25</v>
      </c>
      <c r="AB479" s="3" t="str">
        <f>IF(crimenes_cordoba_ampliado[[#This Row],[Hubo Arresto]]="Sí", "Resuelto", "Pendiente")</f>
        <v>Resuelto</v>
      </c>
      <c r="AC479" s="3" t="s">
        <v>191</v>
      </c>
      <c r="AD479" s="3"/>
    </row>
    <row r="480" spans="1:30" x14ac:dyDescent="0.25">
      <c r="A480">
        <v>483</v>
      </c>
      <c r="B480" s="1">
        <v>42850</v>
      </c>
      <c r="C480" s="33">
        <f t="shared" si="14"/>
        <v>42850</v>
      </c>
      <c r="D480" s="34">
        <f t="shared" si="15"/>
        <v>42850</v>
      </c>
      <c r="E480" s="35" t="s">
        <v>1453</v>
      </c>
      <c r="F480" s="2">
        <v>0.59791666666666665</v>
      </c>
      <c r="G480" s="3" t="s">
        <v>79</v>
      </c>
      <c r="H480" s="3" t="s">
        <v>58</v>
      </c>
      <c r="I480" s="25" t="str">
        <f>VLOOKUP(H480,Tabla5[#All],4,FALSE)</f>
        <v>-31,423018915313, -64,1493562190664</v>
      </c>
      <c r="J480" s="1">
        <v>27624</v>
      </c>
      <c r="K480" s="7">
        <f>INT((crimenes_cordoba_ampliado[[#This Row],[Fecha]]-crimenes_cordoba_ampliado[[#This Row],[Fecha Nac. Delincuente]])/365)</f>
        <v>41</v>
      </c>
      <c r="L480" s="7" t="str">
        <f>_xlfn.XLOOKUP(crimenes_cordoba_ampliado[[#This Row],[EDAD DELINCUENTE]],'Rango etareo'!$A$10:$A$25,'Rango etareo'!$B$10:$B$25,,-1)</f>
        <v>36 - 45</v>
      </c>
      <c r="M480" s="3" t="s">
        <v>21</v>
      </c>
      <c r="N480" s="3" t="str">
        <f>IF(crimenes_cordoba_ampliado[[#This Row],[Género Delincuente]]="Femenino","🚺","🚹")</f>
        <v>🚺</v>
      </c>
      <c r="O480">
        <v>3</v>
      </c>
      <c r="P480" s="1">
        <v>35843</v>
      </c>
      <c r="Q480" s="7">
        <f>INT((crimenes_cordoba_ampliado[[#This Row],[Fecha]]-crimenes_cordoba_ampliado[[#This Row],[Fecha Nac. Víctima]])/365)</f>
        <v>19</v>
      </c>
      <c r="R480" s="7" t="str">
        <f>_xlfn.XLOOKUP(crimenes_cordoba_ampliado[[#This Row],[EDAD VICTIMA]],'Rango etareo'!$A$2:$A$25,'Rango etareo'!$B$2:$B$25,,-1)</f>
        <v>18 - 25</v>
      </c>
      <c r="S480" s="3" t="s">
        <v>22</v>
      </c>
      <c r="T480" s="3" t="str">
        <f>IF(crimenes_cordoba_ampliado[[#This Row],[Género Víctima]]="Masculino","🚹","🚺")</f>
        <v>🚹</v>
      </c>
      <c r="U480">
        <v>1</v>
      </c>
      <c r="V480" s="3" t="s">
        <v>23</v>
      </c>
      <c r="W480" s="3" t="s">
        <v>24</v>
      </c>
      <c r="X480" s="3" t="s">
        <v>24</v>
      </c>
      <c r="Y480" s="3" t="s">
        <v>53</v>
      </c>
      <c r="Z480" s="3" t="s">
        <v>25</v>
      </c>
      <c r="AA480" s="3" t="s">
        <v>25</v>
      </c>
      <c r="AB480" s="3" t="str">
        <f>IF(crimenes_cordoba_ampliado[[#This Row],[Hubo Arresto]]="Sí", "Resuelto", "Pendiente")</f>
        <v>Resuelto</v>
      </c>
      <c r="AC480" s="3" t="s">
        <v>242</v>
      </c>
      <c r="AD480" s="3"/>
    </row>
    <row r="481" spans="1:30" x14ac:dyDescent="0.25">
      <c r="A481">
        <v>776</v>
      </c>
      <c r="B481" s="1">
        <v>43821</v>
      </c>
      <c r="C481" s="33">
        <f t="shared" si="14"/>
        <v>43821</v>
      </c>
      <c r="D481" s="34">
        <f t="shared" si="15"/>
        <v>43821</v>
      </c>
      <c r="E481" s="35" t="s">
        <v>1449</v>
      </c>
      <c r="F481" s="2">
        <v>0.76875000000000004</v>
      </c>
      <c r="G481" s="3" t="s">
        <v>45</v>
      </c>
      <c r="H481" s="3" t="s">
        <v>40</v>
      </c>
      <c r="I481" s="25" t="str">
        <f>VLOOKUP(H481,Tabla5[#All],4,FALSE)</f>
        <v>-31,334500143441, -64,2460773260564</v>
      </c>
      <c r="J481" s="1">
        <v>21529</v>
      </c>
      <c r="K481" s="7">
        <f>INT((crimenes_cordoba_ampliado[[#This Row],[Fecha]]-crimenes_cordoba_ampliado[[#This Row],[Fecha Nac. Delincuente]])/365)</f>
        <v>61</v>
      </c>
      <c r="L481" s="7" t="str">
        <f>_xlfn.XLOOKUP(crimenes_cordoba_ampliado[[#This Row],[EDAD DELINCUENTE]],'Rango etareo'!$A$10:$A$25,'Rango etareo'!$B$10:$B$25,,-1)</f>
        <v>56 - 65</v>
      </c>
      <c r="M481" s="3" t="s">
        <v>21</v>
      </c>
      <c r="N481" s="3" t="str">
        <f>IF(crimenes_cordoba_ampliado[[#This Row],[Género Delincuente]]="Femenino","🚺","🚹")</f>
        <v>🚺</v>
      </c>
      <c r="O481">
        <v>1</v>
      </c>
      <c r="P481" s="1">
        <v>29352</v>
      </c>
      <c r="Q481" s="7">
        <f>INT((crimenes_cordoba_ampliado[[#This Row],[Fecha]]-crimenes_cordoba_ampliado[[#This Row],[Fecha Nac. Víctima]])/365)</f>
        <v>39</v>
      </c>
      <c r="R481" s="7" t="str">
        <f>_xlfn.XLOOKUP(crimenes_cordoba_ampliado[[#This Row],[EDAD VICTIMA]],'Rango etareo'!$A$2:$A$25,'Rango etareo'!$B$2:$B$25,,-1)</f>
        <v>36 - 45</v>
      </c>
      <c r="S481" s="3" t="s">
        <v>22</v>
      </c>
      <c r="T481" s="3" t="str">
        <f>IF(crimenes_cordoba_ampliado[[#This Row],[Género Víctima]]="Masculino","🚹","🚺")</f>
        <v>🚹</v>
      </c>
      <c r="U481">
        <v>1</v>
      </c>
      <c r="V481" s="3" t="s">
        <v>25</v>
      </c>
      <c r="W481" s="3" t="s">
        <v>24</v>
      </c>
      <c r="X481" s="3" t="s">
        <v>24</v>
      </c>
      <c r="Y481" s="3" t="s">
        <v>133</v>
      </c>
      <c r="Z481" s="3" t="s">
        <v>25</v>
      </c>
      <c r="AA481" s="3" t="s">
        <v>25</v>
      </c>
      <c r="AB481" s="3" t="str">
        <f>IF(crimenes_cordoba_ampliado[[#This Row],[Hubo Arresto]]="Sí", "Resuelto", "Pendiente")</f>
        <v>Pendiente</v>
      </c>
      <c r="AC481" s="3" t="s">
        <v>24</v>
      </c>
      <c r="AD481" s="3"/>
    </row>
    <row r="482" spans="1:30" x14ac:dyDescent="0.25">
      <c r="A482">
        <v>484</v>
      </c>
      <c r="B482" s="1">
        <v>42998</v>
      </c>
      <c r="C482" s="33">
        <f t="shared" si="14"/>
        <v>42998</v>
      </c>
      <c r="D482" s="34">
        <f t="shared" si="15"/>
        <v>42998</v>
      </c>
      <c r="E482" s="35" t="s">
        <v>1450</v>
      </c>
      <c r="F482" s="2">
        <v>0.69652777777777775</v>
      </c>
      <c r="G482" s="3" t="s">
        <v>27</v>
      </c>
      <c r="H482" s="3" t="s">
        <v>49</v>
      </c>
      <c r="I482" s="25" t="str">
        <f>VLOOKUP(H482,Tabla5[#All],4,FALSE)</f>
        <v>-31,4506257494184, -64,1733054344705</v>
      </c>
      <c r="J482" s="1">
        <v>22899</v>
      </c>
      <c r="K482" s="7">
        <f>INT((crimenes_cordoba_ampliado[[#This Row],[Fecha]]-crimenes_cordoba_ampliado[[#This Row],[Fecha Nac. Delincuente]])/365)</f>
        <v>55</v>
      </c>
      <c r="L482" s="7" t="str">
        <f>_xlfn.XLOOKUP(crimenes_cordoba_ampliado[[#This Row],[EDAD DELINCUENTE]],'Rango etareo'!$A$10:$A$25,'Rango etareo'!$B$10:$B$25,,-1)</f>
        <v>46 - 55</v>
      </c>
      <c r="M482" s="3" t="s">
        <v>21</v>
      </c>
      <c r="N482" s="3" t="str">
        <f>IF(crimenes_cordoba_ampliado[[#This Row],[Género Delincuente]]="Femenino","🚺","🚹")</f>
        <v>🚺</v>
      </c>
      <c r="O482">
        <v>5</v>
      </c>
      <c r="P482" s="1">
        <v>40949</v>
      </c>
      <c r="Q482" s="7">
        <f>INT((crimenes_cordoba_ampliado[[#This Row],[Fecha]]-crimenes_cordoba_ampliado[[#This Row],[Fecha Nac. Víctima]])/365)</f>
        <v>5</v>
      </c>
      <c r="R482" s="7" t="str">
        <f>_xlfn.XLOOKUP(crimenes_cordoba_ampliado[[#This Row],[EDAD VICTIMA]],'Rango etareo'!$A$2:$A$25,'Rango etareo'!$B$2:$B$25,,-1)</f>
        <v>&lt;=17</v>
      </c>
      <c r="S482" s="3" t="s">
        <v>22</v>
      </c>
      <c r="T482" s="3" t="str">
        <f>IF(crimenes_cordoba_ampliado[[#This Row],[Género Víctima]]="Masculino","🚹","🚺")</f>
        <v>🚹</v>
      </c>
      <c r="U482">
        <v>1</v>
      </c>
      <c r="V482" s="3" t="s">
        <v>23</v>
      </c>
      <c r="W482" s="3" t="s">
        <v>24</v>
      </c>
      <c r="X482" s="3" t="s">
        <v>24</v>
      </c>
      <c r="Y482" s="3" t="s">
        <v>69</v>
      </c>
      <c r="Z482" s="3" t="s">
        <v>25</v>
      </c>
      <c r="AA482" s="3" t="s">
        <v>23</v>
      </c>
      <c r="AB482" s="3" t="str">
        <f>IF(crimenes_cordoba_ampliado[[#This Row],[Hubo Arresto]]="Sí", "Resuelto", "Pendiente")</f>
        <v>Resuelto</v>
      </c>
      <c r="AC482" s="3" t="s">
        <v>249</v>
      </c>
      <c r="AD482" s="3"/>
    </row>
    <row r="483" spans="1:30" x14ac:dyDescent="0.25">
      <c r="A483">
        <v>96</v>
      </c>
      <c r="B483" s="1">
        <v>43839</v>
      </c>
      <c r="C483" s="33">
        <f t="shared" si="14"/>
        <v>43839</v>
      </c>
      <c r="D483" s="34">
        <f t="shared" si="15"/>
        <v>43839</v>
      </c>
      <c r="E483" s="35" t="s">
        <v>1454</v>
      </c>
      <c r="F483" s="2">
        <v>0.97291666666666665</v>
      </c>
      <c r="G483" s="3" t="s">
        <v>51</v>
      </c>
      <c r="H483" s="3" t="s">
        <v>58</v>
      </c>
      <c r="I483" s="25" t="str">
        <f>VLOOKUP(H483,Tabla5[#All],4,FALSE)</f>
        <v>-31,423018915313, -64,1493562190664</v>
      </c>
      <c r="J483" s="1">
        <v>30181</v>
      </c>
      <c r="K483" s="7">
        <f>INT((crimenes_cordoba_ampliado[[#This Row],[Fecha]]-crimenes_cordoba_ampliado[[#This Row],[Fecha Nac. Delincuente]])/365)</f>
        <v>37</v>
      </c>
      <c r="L483" s="7" t="str">
        <f>_xlfn.XLOOKUP(crimenes_cordoba_ampliado[[#This Row],[EDAD DELINCUENTE]],'Rango etareo'!$A$10:$A$25,'Rango etareo'!$B$10:$B$25,,-1)</f>
        <v>36 - 45</v>
      </c>
      <c r="M483" s="3" t="s">
        <v>22</v>
      </c>
      <c r="N483" s="3" t="str">
        <f>IF(crimenes_cordoba_ampliado[[#This Row],[Género Delincuente]]="Femenino","🚺","🚹")</f>
        <v>🚹</v>
      </c>
      <c r="O483">
        <v>2</v>
      </c>
      <c r="P483" s="1">
        <v>36887</v>
      </c>
      <c r="Q483" s="7">
        <f>INT((crimenes_cordoba_ampliado[[#This Row],[Fecha]]-crimenes_cordoba_ampliado[[#This Row],[Fecha Nac. Víctima]])/365)</f>
        <v>19</v>
      </c>
      <c r="R483" s="7" t="str">
        <f>_xlfn.XLOOKUP(crimenes_cordoba_ampliado[[#This Row],[EDAD VICTIMA]],'Rango etareo'!$A$2:$A$25,'Rango etareo'!$B$2:$B$25,,-1)</f>
        <v>18 - 25</v>
      </c>
      <c r="S483" s="3" t="s">
        <v>21</v>
      </c>
      <c r="T483" s="3" t="str">
        <f>IF(crimenes_cordoba_ampliado[[#This Row],[Género Víctima]]="Masculino","🚹","🚺")</f>
        <v>🚺</v>
      </c>
      <c r="U483">
        <v>2</v>
      </c>
      <c r="V483" s="3" t="s">
        <v>25</v>
      </c>
      <c r="W483" s="3" t="s">
        <v>36</v>
      </c>
      <c r="X483" s="3" t="s">
        <v>29</v>
      </c>
      <c r="Y483" s="3" t="s">
        <v>24</v>
      </c>
      <c r="Z483" s="3" t="s">
        <v>25</v>
      </c>
      <c r="AA483" s="3" t="s">
        <v>23</v>
      </c>
      <c r="AB483" s="3" t="str">
        <f>IF(crimenes_cordoba_ampliado[[#This Row],[Hubo Arresto]]="Sí", "Resuelto", "Pendiente")</f>
        <v>Pendiente</v>
      </c>
      <c r="AC483" s="3" t="s">
        <v>24</v>
      </c>
      <c r="AD483" s="3"/>
    </row>
    <row r="484" spans="1:30" x14ac:dyDescent="0.25">
      <c r="A484">
        <v>324</v>
      </c>
      <c r="B484" s="1">
        <v>43844</v>
      </c>
      <c r="C484" s="33">
        <f t="shared" si="14"/>
        <v>43844</v>
      </c>
      <c r="D484" s="34">
        <f t="shared" si="15"/>
        <v>43844</v>
      </c>
      <c r="E484" s="35" t="s">
        <v>1453</v>
      </c>
      <c r="F484" s="2">
        <v>0.57777777777777772</v>
      </c>
      <c r="G484" s="3" t="s">
        <v>42</v>
      </c>
      <c r="H484" s="3" t="s">
        <v>40</v>
      </c>
      <c r="I484" s="25" t="str">
        <f>VLOOKUP(H484,Tabla5[#All],4,FALSE)</f>
        <v>-31,334500143441, -64,2460773260564</v>
      </c>
      <c r="J484" s="1">
        <v>19955</v>
      </c>
      <c r="K484" s="7">
        <f>INT((crimenes_cordoba_ampliado[[#This Row],[Fecha]]-crimenes_cordoba_ampliado[[#This Row],[Fecha Nac. Delincuente]])/365)</f>
        <v>65</v>
      </c>
      <c r="L484" s="7" t="str">
        <f>_xlfn.XLOOKUP(crimenes_cordoba_ampliado[[#This Row],[EDAD DELINCUENTE]],'Rango etareo'!$A$10:$A$25,'Rango etareo'!$B$10:$B$25,,-1)</f>
        <v>&gt;65</v>
      </c>
      <c r="M484" s="3" t="s">
        <v>21</v>
      </c>
      <c r="N484" s="3" t="str">
        <f>IF(crimenes_cordoba_ampliado[[#This Row],[Género Delincuente]]="Femenino","🚺","🚹")</f>
        <v>🚺</v>
      </c>
      <c r="O484">
        <v>1</v>
      </c>
      <c r="P484" s="1">
        <v>16413</v>
      </c>
      <c r="Q484" s="7">
        <f>INT((crimenes_cordoba_ampliado[[#This Row],[Fecha]]-crimenes_cordoba_ampliado[[#This Row],[Fecha Nac. Víctima]])/365)</f>
        <v>75</v>
      </c>
      <c r="R484" s="7" t="str">
        <f>_xlfn.XLOOKUP(crimenes_cordoba_ampliado[[#This Row],[EDAD VICTIMA]],'Rango etareo'!$A$2:$A$25,'Rango etareo'!$B$2:$B$25,,-1)</f>
        <v>&gt;65</v>
      </c>
      <c r="S484" s="3" t="s">
        <v>22</v>
      </c>
      <c r="T484" s="3" t="str">
        <f>IF(crimenes_cordoba_ampliado[[#This Row],[Género Víctima]]="Masculino","🚹","🚺")</f>
        <v>🚹</v>
      </c>
      <c r="U484">
        <v>1</v>
      </c>
      <c r="V484" s="3" t="s">
        <v>25</v>
      </c>
      <c r="W484" s="3" t="s">
        <v>24</v>
      </c>
      <c r="X484" s="3" t="s">
        <v>24</v>
      </c>
      <c r="Y484" s="3" t="s">
        <v>43</v>
      </c>
      <c r="Z484" s="3" t="s">
        <v>25</v>
      </c>
      <c r="AA484" s="3" t="s">
        <v>25</v>
      </c>
      <c r="AB484" s="3" t="str">
        <f>IF(crimenes_cordoba_ampliado[[#This Row],[Hubo Arresto]]="Sí", "Resuelto", "Pendiente")</f>
        <v>Pendiente</v>
      </c>
      <c r="AC484" s="3" t="s">
        <v>24</v>
      </c>
      <c r="AD484" s="3"/>
    </row>
    <row r="485" spans="1:30" x14ac:dyDescent="0.25">
      <c r="A485">
        <v>485</v>
      </c>
      <c r="B485" s="1">
        <v>43266</v>
      </c>
      <c r="C485" s="33">
        <f t="shared" si="14"/>
        <v>43266</v>
      </c>
      <c r="D485" s="34">
        <f t="shared" si="15"/>
        <v>43266</v>
      </c>
      <c r="E485" s="35" t="s">
        <v>1455</v>
      </c>
      <c r="F485" s="2">
        <v>0.47916666666666669</v>
      </c>
      <c r="G485" s="3" t="s">
        <v>51</v>
      </c>
      <c r="H485" s="3" t="s">
        <v>70</v>
      </c>
      <c r="I485" s="25" t="str">
        <f>VLOOKUP(H485,Tabla5[#All],4,FALSE)</f>
        <v>-31,3759272890294, -64,2284587792478</v>
      </c>
      <c r="J485" s="1">
        <v>24826</v>
      </c>
      <c r="K485" s="7">
        <f>INT((crimenes_cordoba_ampliado[[#This Row],[Fecha]]-crimenes_cordoba_ampliado[[#This Row],[Fecha Nac. Delincuente]])/365)</f>
        <v>50</v>
      </c>
      <c r="L485" s="7" t="str">
        <f>_xlfn.XLOOKUP(crimenes_cordoba_ampliado[[#This Row],[EDAD DELINCUENTE]],'Rango etareo'!$A$10:$A$25,'Rango etareo'!$B$10:$B$25,,-1)</f>
        <v>46 - 55</v>
      </c>
      <c r="M485" s="3" t="s">
        <v>22</v>
      </c>
      <c r="N485" s="3" t="str">
        <f>IF(crimenes_cordoba_ampliado[[#This Row],[Género Delincuente]]="Femenino","🚺","🚹")</f>
        <v>🚹</v>
      </c>
      <c r="O485">
        <v>4</v>
      </c>
      <c r="P485" s="1">
        <v>37892</v>
      </c>
      <c r="Q485" s="7">
        <f>INT((crimenes_cordoba_ampliado[[#This Row],[Fecha]]-crimenes_cordoba_ampliado[[#This Row],[Fecha Nac. Víctima]])/365)</f>
        <v>14</v>
      </c>
      <c r="R485" s="7" t="str">
        <f>_xlfn.XLOOKUP(crimenes_cordoba_ampliado[[#This Row],[EDAD VICTIMA]],'Rango etareo'!$A$2:$A$25,'Rango etareo'!$B$2:$B$25,,-1)</f>
        <v>&lt;=17</v>
      </c>
      <c r="S485" s="3" t="s">
        <v>22</v>
      </c>
      <c r="T485" s="3" t="str">
        <f>IF(crimenes_cordoba_ampliado[[#This Row],[Género Víctima]]="Masculino","🚹","🚺")</f>
        <v>🚹</v>
      </c>
      <c r="U485">
        <v>2</v>
      </c>
      <c r="V485" s="3" t="s">
        <v>23</v>
      </c>
      <c r="W485" s="3" t="s">
        <v>24</v>
      </c>
      <c r="X485" s="3" t="s">
        <v>24</v>
      </c>
      <c r="Y485" s="3" t="s">
        <v>89</v>
      </c>
      <c r="Z485" s="3" t="s">
        <v>25</v>
      </c>
      <c r="AA485" s="3" t="s">
        <v>25</v>
      </c>
      <c r="AB485" s="3" t="str">
        <f>IF(crimenes_cordoba_ampliado[[#This Row],[Hubo Arresto]]="Sí", "Resuelto", "Pendiente")</f>
        <v>Resuelto</v>
      </c>
      <c r="AC485" s="3" t="s">
        <v>250</v>
      </c>
      <c r="AD485" s="3"/>
    </row>
    <row r="486" spans="1:30" x14ac:dyDescent="0.25">
      <c r="A486">
        <v>312</v>
      </c>
      <c r="B486" s="1">
        <v>43849</v>
      </c>
      <c r="C486" s="33">
        <f t="shared" si="14"/>
        <v>43849</v>
      </c>
      <c r="D486" s="34">
        <f t="shared" si="15"/>
        <v>43849</v>
      </c>
      <c r="E486" s="35" t="s">
        <v>1449</v>
      </c>
      <c r="F486" s="2">
        <v>0.26319444444444445</v>
      </c>
      <c r="G486" s="3" t="s">
        <v>19</v>
      </c>
      <c r="H486" s="3" t="s">
        <v>32</v>
      </c>
      <c r="I486" s="25" t="str">
        <f>VLOOKUP(H486,Tabla5[#All],4,FALSE)</f>
        <v>-31,4148488101991, -64,1793406489438</v>
      </c>
      <c r="J486" s="1">
        <v>18733</v>
      </c>
      <c r="K486" s="7">
        <f>INT((crimenes_cordoba_ampliado[[#This Row],[Fecha]]-crimenes_cordoba_ampliado[[#This Row],[Fecha Nac. Delincuente]])/365)</f>
        <v>68</v>
      </c>
      <c r="L486" s="7" t="str">
        <f>_xlfn.XLOOKUP(crimenes_cordoba_ampliado[[#This Row],[EDAD DELINCUENTE]],'Rango etareo'!$A$10:$A$25,'Rango etareo'!$B$10:$B$25,,-1)</f>
        <v>&gt;65</v>
      </c>
      <c r="M486" s="3" t="s">
        <v>21</v>
      </c>
      <c r="N486" s="3" t="str">
        <f>IF(crimenes_cordoba_ampliado[[#This Row],[Género Delincuente]]="Femenino","🚺","🚹")</f>
        <v>🚺</v>
      </c>
      <c r="O486">
        <v>1</v>
      </c>
      <c r="P486" s="1">
        <v>40955</v>
      </c>
      <c r="Q486" s="7">
        <f>INT((crimenes_cordoba_ampliado[[#This Row],[Fecha]]-crimenes_cordoba_ampliado[[#This Row],[Fecha Nac. Víctima]])/365)</f>
        <v>7</v>
      </c>
      <c r="R486" s="7" t="str">
        <f>_xlfn.XLOOKUP(crimenes_cordoba_ampliado[[#This Row],[EDAD VICTIMA]],'Rango etareo'!$A$2:$A$25,'Rango etareo'!$B$2:$B$25,,-1)</f>
        <v>&lt;=17</v>
      </c>
      <c r="S486" s="3" t="s">
        <v>21</v>
      </c>
      <c r="T486" s="3" t="str">
        <f>IF(crimenes_cordoba_ampliado[[#This Row],[Género Víctima]]="Masculino","🚹","🚺")</f>
        <v>🚺</v>
      </c>
      <c r="U486">
        <v>1</v>
      </c>
      <c r="V486" s="3" t="s">
        <v>25</v>
      </c>
      <c r="W486" s="3" t="s">
        <v>24</v>
      </c>
      <c r="X486" s="3" t="s">
        <v>24</v>
      </c>
      <c r="Y486" s="3" t="s">
        <v>53</v>
      </c>
      <c r="Z486" s="3" t="s">
        <v>23</v>
      </c>
      <c r="AA486" s="3" t="s">
        <v>23</v>
      </c>
      <c r="AB486" s="3" t="str">
        <f>IF(crimenes_cordoba_ampliado[[#This Row],[Hubo Arresto]]="Sí", "Resuelto", "Pendiente")</f>
        <v>Pendiente</v>
      </c>
      <c r="AC486" s="3" t="s">
        <v>24</v>
      </c>
      <c r="AD486" s="3"/>
    </row>
    <row r="487" spans="1:30" x14ac:dyDescent="0.25">
      <c r="A487">
        <v>488</v>
      </c>
      <c r="B487" s="1">
        <v>42088</v>
      </c>
      <c r="C487" s="33">
        <f t="shared" si="14"/>
        <v>42088</v>
      </c>
      <c r="D487" s="34">
        <f t="shared" si="15"/>
        <v>42088</v>
      </c>
      <c r="E487" s="35" t="s">
        <v>1450</v>
      </c>
      <c r="F487" s="2">
        <v>0.30625000000000002</v>
      </c>
      <c r="G487" s="3" t="s">
        <v>51</v>
      </c>
      <c r="H487" s="3" t="s">
        <v>32</v>
      </c>
      <c r="I487" s="25" t="str">
        <f>VLOOKUP(H487,Tabla5[#All],4,FALSE)</f>
        <v>-31,4148488101991, -64,1793406489438</v>
      </c>
      <c r="J487" s="1">
        <v>31880</v>
      </c>
      <c r="K487" s="7">
        <f>INT((crimenes_cordoba_ampliado[[#This Row],[Fecha]]-crimenes_cordoba_ampliado[[#This Row],[Fecha Nac. Delincuente]])/365)</f>
        <v>27</v>
      </c>
      <c r="L487" s="7" t="str">
        <f>_xlfn.XLOOKUP(crimenes_cordoba_ampliado[[#This Row],[EDAD DELINCUENTE]],'Rango etareo'!$A$10:$A$25,'Rango etareo'!$B$10:$B$25,,-1)</f>
        <v>26 - 35</v>
      </c>
      <c r="M487" s="3" t="s">
        <v>21</v>
      </c>
      <c r="N487" s="3" t="str">
        <f>IF(crimenes_cordoba_ampliado[[#This Row],[Género Delincuente]]="Femenino","🚺","🚹")</f>
        <v>🚺</v>
      </c>
      <c r="O487">
        <v>3</v>
      </c>
      <c r="P487" s="1">
        <v>16306</v>
      </c>
      <c r="Q487" s="7">
        <f>INT((crimenes_cordoba_ampliado[[#This Row],[Fecha]]-crimenes_cordoba_ampliado[[#This Row],[Fecha Nac. Víctima]])/365)</f>
        <v>70</v>
      </c>
      <c r="R487" s="7" t="str">
        <f>_xlfn.XLOOKUP(crimenes_cordoba_ampliado[[#This Row],[EDAD VICTIMA]],'Rango etareo'!$A$2:$A$25,'Rango etareo'!$B$2:$B$25,,-1)</f>
        <v>&gt;65</v>
      </c>
      <c r="S487" s="3" t="s">
        <v>21</v>
      </c>
      <c r="T487" s="3" t="str">
        <f>IF(crimenes_cordoba_ampliado[[#This Row],[Género Víctima]]="Masculino","🚹","🚺")</f>
        <v>🚺</v>
      </c>
      <c r="U487">
        <v>2</v>
      </c>
      <c r="V487" s="3" t="s">
        <v>23</v>
      </c>
      <c r="W487" s="3" t="s">
        <v>24</v>
      </c>
      <c r="X487" s="3" t="s">
        <v>29</v>
      </c>
      <c r="Y487" s="3" t="s">
        <v>24</v>
      </c>
      <c r="Z487" s="3" t="s">
        <v>25</v>
      </c>
      <c r="AA487" s="3" t="s">
        <v>25</v>
      </c>
      <c r="AB487" s="3" t="str">
        <f>IF(crimenes_cordoba_ampliado[[#This Row],[Hubo Arresto]]="Sí", "Resuelto", "Pendiente")</f>
        <v>Resuelto</v>
      </c>
      <c r="AC487" s="3" t="s">
        <v>251</v>
      </c>
      <c r="AD487" s="3"/>
    </row>
    <row r="488" spans="1:30" x14ac:dyDescent="0.25">
      <c r="A488">
        <v>489</v>
      </c>
      <c r="B488" s="1">
        <v>42724</v>
      </c>
      <c r="C488" s="33">
        <f t="shared" si="14"/>
        <v>42724</v>
      </c>
      <c r="D488" s="34">
        <f t="shared" si="15"/>
        <v>42724</v>
      </c>
      <c r="E488" s="35" t="s">
        <v>1453</v>
      </c>
      <c r="F488" s="2">
        <v>0.2986111111111111</v>
      </c>
      <c r="G488" s="3" t="s">
        <v>51</v>
      </c>
      <c r="H488" s="3" t="s">
        <v>62</v>
      </c>
      <c r="I488" s="25" t="str">
        <f>VLOOKUP(H488,Tabla5[#All],4,FALSE)</f>
        <v>-31,3909520937826, -64,1836424491715</v>
      </c>
      <c r="J488" s="1">
        <v>38252</v>
      </c>
      <c r="K488" s="7">
        <f>INT((crimenes_cordoba_ampliado[[#This Row],[Fecha]]-crimenes_cordoba_ampliado[[#This Row],[Fecha Nac. Delincuente]])/365)</f>
        <v>12</v>
      </c>
      <c r="L488" s="7" t="str">
        <f>_xlfn.XLOOKUP(crimenes_cordoba_ampliado[[#This Row],[EDAD DELINCUENTE]],'Rango etareo'!$A$10:$A$25,'Rango etareo'!$B$10:$B$25,,-1)</f>
        <v>&lt;=17</v>
      </c>
      <c r="M488" s="3" t="s">
        <v>21</v>
      </c>
      <c r="N488" s="3" t="str">
        <f>IF(crimenes_cordoba_ampliado[[#This Row],[Género Delincuente]]="Femenino","🚺","🚹")</f>
        <v>🚺</v>
      </c>
      <c r="O488">
        <v>3</v>
      </c>
      <c r="P488" s="1">
        <v>38116</v>
      </c>
      <c r="Q488" s="7">
        <f>INT((crimenes_cordoba_ampliado[[#This Row],[Fecha]]-crimenes_cordoba_ampliado[[#This Row],[Fecha Nac. Víctima]])/365)</f>
        <v>12</v>
      </c>
      <c r="R488" s="7" t="str">
        <f>_xlfn.XLOOKUP(crimenes_cordoba_ampliado[[#This Row],[EDAD VICTIMA]],'Rango etareo'!$A$2:$A$25,'Rango etareo'!$B$2:$B$25,,-1)</f>
        <v>&lt;=17</v>
      </c>
      <c r="S488" s="3" t="s">
        <v>21</v>
      </c>
      <c r="T488" s="3" t="str">
        <f>IF(crimenes_cordoba_ampliado[[#This Row],[Género Víctima]]="Masculino","🚹","🚺")</f>
        <v>🚺</v>
      </c>
      <c r="U488">
        <v>3</v>
      </c>
      <c r="V488" s="3" t="s">
        <v>23</v>
      </c>
      <c r="W488" s="3" t="s">
        <v>24</v>
      </c>
      <c r="X488" s="3" t="s">
        <v>24</v>
      </c>
      <c r="Y488" s="3" t="s">
        <v>24</v>
      </c>
      <c r="Z488" s="3" t="s">
        <v>23</v>
      </c>
      <c r="AA488" s="3" t="s">
        <v>23</v>
      </c>
      <c r="AB488" s="3" t="str">
        <f>IF(crimenes_cordoba_ampliado[[#This Row],[Hubo Arresto]]="Sí", "Resuelto", "Pendiente")</f>
        <v>Resuelto</v>
      </c>
      <c r="AC488" s="3" t="s">
        <v>218</v>
      </c>
      <c r="AD488" s="3"/>
    </row>
    <row r="489" spans="1:30" x14ac:dyDescent="0.25">
      <c r="A489">
        <v>490</v>
      </c>
      <c r="B489" s="1">
        <v>44040</v>
      </c>
      <c r="C489" s="33">
        <f t="shared" si="14"/>
        <v>44040</v>
      </c>
      <c r="D489" s="34">
        <f t="shared" si="15"/>
        <v>44040</v>
      </c>
      <c r="E489" s="35" t="s">
        <v>1453</v>
      </c>
      <c r="F489" s="2">
        <v>0.77777777777777779</v>
      </c>
      <c r="G489" s="3" t="s">
        <v>51</v>
      </c>
      <c r="H489" s="3" t="s">
        <v>62</v>
      </c>
      <c r="I489" s="25" t="str">
        <f>VLOOKUP(H489,Tabla5[#All],4,FALSE)</f>
        <v>-31,3909520937826, -64,1836424491715</v>
      </c>
      <c r="J489" s="1">
        <v>34112</v>
      </c>
      <c r="K489" s="7">
        <f>INT((crimenes_cordoba_ampliado[[#This Row],[Fecha]]-crimenes_cordoba_ampliado[[#This Row],[Fecha Nac. Delincuente]])/365)</f>
        <v>27</v>
      </c>
      <c r="L489" s="7" t="str">
        <f>_xlfn.XLOOKUP(crimenes_cordoba_ampliado[[#This Row],[EDAD DELINCUENTE]],'Rango etareo'!$A$10:$A$25,'Rango etareo'!$B$10:$B$25,,-1)</f>
        <v>26 - 35</v>
      </c>
      <c r="M489" s="3" t="s">
        <v>22</v>
      </c>
      <c r="N489" s="3" t="str">
        <f>IF(crimenes_cordoba_ampliado[[#This Row],[Género Delincuente]]="Femenino","🚺","🚹")</f>
        <v>🚹</v>
      </c>
      <c r="O489">
        <v>3</v>
      </c>
      <c r="P489" s="1">
        <v>37429</v>
      </c>
      <c r="Q489" s="7">
        <f>INT((crimenes_cordoba_ampliado[[#This Row],[Fecha]]-crimenes_cordoba_ampliado[[#This Row],[Fecha Nac. Víctima]])/365)</f>
        <v>18</v>
      </c>
      <c r="R489" s="7" t="str">
        <f>_xlfn.XLOOKUP(crimenes_cordoba_ampliado[[#This Row],[EDAD VICTIMA]],'Rango etareo'!$A$2:$A$25,'Rango etareo'!$B$2:$B$25,,-1)</f>
        <v>18 - 25</v>
      </c>
      <c r="S489" s="3" t="s">
        <v>21</v>
      </c>
      <c r="T489" s="3" t="str">
        <f>IF(crimenes_cordoba_ampliado[[#This Row],[Género Víctima]]="Masculino","🚹","🚺")</f>
        <v>🚺</v>
      </c>
      <c r="U489">
        <v>1</v>
      </c>
      <c r="V489" s="3" t="s">
        <v>23</v>
      </c>
      <c r="W489" s="3" t="s">
        <v>63</v>
      </c>
      <c r="X489" s="3" t="s">
        <v>24</v>
      </c>
      <c r="Y489" s="3" t="s">
        <v>77</v>
      </c>
      <c r="Z489" s="3" t="s">
        <v>25</v>
      </c>
      <c r="AA489" s="3" t="s">
        <v>23</v>
      </c>
      <c r="AB489" s="3" t="str">
        <f>IF(crimenes_cordoba_ampliado[[#This Row],[Hubo Arresto]]="Sí", "Resuelto", "Pendiente")</f>
        <v>Resuelto</v>
      </c>
      <c r="AC489" s="3" t="s">
        <v>252</v>
      </c>
      <c r="AD489" s="3"/>
    </row>
    <row r="490" spans="1:30" x14ac:dyDescent="0.25">
      <c r="A490">
        <v>687</v>
      </c>
      <c r="B490" s="1">
        <v>43854</v>
      </c>
      <c r="C490" s="33">
        <f t="shared" si="14"/>
        <v>43854</v>
      </c>
      <c r="D490" s="34">
        <f t="shared" si="15"/>
        <v>43854</v>
      </c>
      <c r="E490" s="35" t="s">
        <v>1455</v>
      </c>
      <c r="F490" s="2">
        <v>0.53541666666666665</v>
      </c>
      <c r="G490" s="3" t="s">
        <v>51</v>
      </c>
      <c r="H490" s="3" t="s">
        <v>55</v>
      </c>
      <c r="I490" s="25" t="str">
        <f>VLOOKUP(H490,Tabla5[#All],4,FALSE)</f>
        <v>-31,4015892433235, -64,160442876477</v>
      </c>
      <c r="J490" s="1">
        <v>29605</v>
      </c>
      <c r="K490" s="7">
        <f>INT((crimenes_cordoba_ampliado[[#This Row],[Fecha]]-crimenes_cordoba_ampliado[[#This Row],[Fecha Nac. Delincuente]])/365)</f>
        <v>39</v>
      </c>
      <c r="L490" s="7" t="str">
        <f>_xlfn.XLOOKUP(crimenes_cordoba_ampliado[[#This Row],[EDAD DELINCUENTE]],'Rango etareo'!$A$10:$A$25,'Rango etareo'!$B$10:$B$25,,-1)</f>
        <v>36 - 45</v>
      </c>
      <c r="M490" s="3" t="s">
        <v>22</v>
      </c>
      <c r="N490" s="3" t="str">
        <f>IF(crimenes_cordoba_ampliado[[#This Row],[Género Delincuente]]="Femenino","🚺","🚹")</f>
        <v>🚹</v>
      </c>
      <c r="O490">
        <v>5</v>
      </c>
      <c r="P490" s="1">
        <v>39698</v>
      </c>
      <c r="Q490" s="7">
        <f>INT((crimenes_cordoba_ampliado[[#This Row],[Fecha]]-crimenes_cordoba_ampliado[[#This Row],[Fecha Nac. Víctima]])/365)</f>
        <v>11</v>
      </c>
      <c r="R490" s="7" t="str">
        <f>_xlfn.XLOOKUP(crimenes_cordoba_ampliado[[#This Row],[EDAD VICTIMA]],'Rango etareo'!$A$2:$A$25,'Rango etareo'!$B$2:$B$25,,-1)</f>
        <v>&lt;=17</v>
      </c>
      <c r="S490" s="3" t="s">
        <v>21</v>
      </c>
      <c r="T490" s="3" t="str">
        <f>IF(crimenes_cordoba_ampliado[[#This Row],[Género Víctima]]="Masculino","🚹","🚺")</f>
        <v>🚺</v>
      </c>
      <c r="U490">
        <v>3</v>
      </c>
      <c r="V490" s="3" t="s">
        <v>25</v>
      </c>
      <c r="W490" s="3" t="s">
        <v>24</v>
      </c>
      <c r="X490" s="3" t="s">
        <v>24</v>
      </c>
      <c r="Y490" s="3" t="s">
        <v>86</v>
      </c>
      <c r="Z490" s="3" t="s">
        <v>25</v>
      </c>
      <c r="AA490" s="3" t="s">
        <v>23</v>
      </c>
      <c r="AB490" s="3" t="str">
        <f>IF(crimenes_cordoba_ampliado[[#This Row],[Hubo Arresto]]="Sí", "Resuelto", "Pendiente")</f>
        <v>Pendiente</v>
      </c>
      <c r="AC490" s="3" t="s">
        <v>24</v>
      </c>
      <c r="AD490" s="3"/>
    </row>
    <row r="491" spans="1:30" x14ac:dyDescent="0.25">
      <c r="A491">
        <v>611</v>
      </c>
      <c r="B491" s="1">
        <v>43857</v>
      </c>
      <c r="C491" s="33">
        <f t="shared" si="14"/>
        <v>43857</v>
      </c>
      <c r="D491" s="34">
        <f t="shared" si="15"/>
        <v>43857</v>
      </c>
      <c r="E491" s="35" t="s">
        <v>1452</v>
      </c>
      <c r="F491" s="2">
        <v>0.41249999999999998</v>
      </c>
      <c r="G491" s="3" t="s">
        <v>81</v>
      </c>
      <c r="H491" s="3" t="s">
        <v>52</v>
      </c>
      <c r="I491" s="25" t="str">
        <f>VLOOKUP(H491,Tabla5[#All],4,FALSE)</f>
        <v>-31,3477902896523, -64,2644406169297</v>
      </c>
      <c r="J491" s="1">
        <v>18598</v>
      </c>
      <c r="K491" s="7">
        <f>INT((crimenes_cordoba_ampliado[[#This Row],[Fecha]]-crimenes_cordoba_ampliado[[#This Row],[Fecha Nac. Delincuente]])/365)</f>
        <v>69</v>
      </c>
      <c r="L491" s="7" t="str">
        <f>_xlfn.XLOOKUP(crimenes_cordoba_ampliado[[#This Row],[EDAD DELINCUENTE]],'Rango etareo'!$A$10:$A$25,'Rango etareo'!$B$10:$B$25,,-1)</f>
        <v>&gt;65</v>
      </c>
      <c r="M491" s="3" t="s">
        <v>22</v>
      </c>
      <c r="N491" s="3" t="str">
        <f>IF(crimenes_cordoba_ampliado[[#This Row],[Género Delincuente]]="Femenino","🚺","🚹")</f>
        <v>🚹</v>
      </c>
      <c r="O491">
        <v>1</v>
      </c>
      <c r="P491" s="1">
        <v>35701</v>
      </c>
      <c r="Q491" s="7">
        <f>INT((crimenes_cordoba_ampliado[[#This Row],[Fecha]]-crimenes_cordoba_ampliado[[#This Row],[Fecha Nac. Víctima]])/365)</f>
        <v>22</v>
      </c>
      <c r="R491" s="7" t="str">
        <f>_xlfn.XLOOKUP(crimenes_cordoba_ampliado[[#This Row],[EDAD VICTIMA]],'Rango etareo'!$A$2:$A$25,'Rango etareo'!$B$2:$B$25,,-1)</f>
        <v>18 - 25</v>
      </c>
      <c r="S491" s="3" t="s">
        <v>21</v>
      </c>
      <c r="T491" s="3" t="str">
        <f>IF(crimenes_cordoba_ampliado[[#This Row],[Género Víctima]]="Masculino","🚹","🚺")</f>
        <v>🚺</v>
      </c>
      <c r="U491">
        <v>3</v>
      </c>
      <c r="V491" s="3" t="s">
        <v>25</v>
      </c>
      <c r="W491" s="3" t="s">
        <v>24</v>
      </c>
      <c r="X491" s="3" t="s">
        <v>24</v>
      </c>
      <c r="Y491" s="3" t="s">
        <v>24</v>
      </c>
      <c r="Z491" s="3" t="s">
        <v>23</v>
      </c>
      <c r="AA491" s="3" t="s">
        <v>25</v>
      </c>
      <c r="AB491" s="3" t="str">
        <f>IF(crimenes_cordoba_ampliado[[#This Row],[Hubo Arresto]]="Sí", "Resuelto", "Pendiente")</f>
        <v>Pendiente</v>
      </c>
      <c r="AC491" s="3" t="s">
        <v>24</v>
      </c>
      <c r="AD491" s="3"/>
    </row>
    <row r="492" spans="1:30" x14ac:dyDescent="0.25">
      <c r="A492">
        <v>989</v>
      </c>
      <c r="B492" s="1">
        <v>43861</v>
      </c>
      <c r="C492" s="33">
        <f t="shared" si="14"/>
        <v>43861</v>
      </c>
      <c r="D492" s="34">
        <f t="shared" si="15"/>
        <v>43861</v>
      </c>
      <c r="E492" s="35" t="s">
        <v>1455</v>
      </c>
      <c r="F492" s="2">
        <v>0.65972222222222221</v>
      </c>
      <c r="G492" s="3" t="s">
        <v>79</v>
      </c>
      <c r="H492" s="3" t="s">
        <v>62</v>
      </c>
      <c r="I492" s="25" t="str">
        <f>VLOOKUP(H492,Tabla5[#All],4,FALSE)</f>
        <v>-31,3909520937826, -64,1836424491715</v>
      </c>
      <c r="J492" s="1">
        <v>37061</v>
      </c>
      <c r="K492" s="7">
        <f>INT((crimenes_cordoba_ampliado[[#This Row],[Fecha]]-crimenes_cordoba_ampliado[[#This Row],[Fecha Nac. Delincuente]])/365)</f>
        <v>18</v>
      </c>
      <c r="L492" s="7" t="str">
        <f>_xlfn.XLOOKUP(crimenes_cordoba_ampliado[[#This Row],[EDAD DELINCUENTE]],'Rango etareo'!$A$10:$A$25,'Rango etareo'!$B$10:$B$25,,-1)</f>
        <v>18 - 25</v>
      </c>
      <c r="M492" s="3" t="s">
        <v>22</v>
      </c>
      <c r="N492" s="3" t="str">
        <f>IF(crimenes_cordoba_ampliado[[#This Row],[Género Delincuente]]="Femenino","🚺","🚹")</f>
        <v>🚹</v>
      </c>
      <c r="O492">
        <v>1</v>
      </c>
      <c r="P492" s="1">
        <v>23343</v>
      </c>
      <c r="Q492" s="7">
        <f>INT((crimenes_cordoba_ampliado[[#This Row],[Fecha]]-crimenes_cordoba_ampliado[[#This Row],[Fecha Nac. Víctima]])/365)</f>
        <v>56</v>
      </c>
      <c r="R492" s="7" t="str">
        <f>_xlfn.XLOOKUP(crimenes_cordoba_ampliado[[#This Row],[EDAD VICTIMA]],'Rango etareo'!$A$2:$A$25,'Rango etareo'!$B$2:$B$25,,-1)</f>
        <v>56 - 65</v>
      </c>
      <c r="S492" s="3" t="s">
        <v>22</v>
      </c>
      <c r="T492" s="3" t="str">
        <f>IF(crimenes_cordoba_ampliado[[#This Row],[Género Víctima]]="Masculino","🚹","🚺")</f>
        <v>🚹</v>
      </c>
      <c r="U492">
        <v>3</v>
      </c>
      <c r="V492" s="3" t="s">
        <v>25</v>
      </c>
      <c r="W492" s="3" t="s">
        <v>24</v>
      </c>
      <c r="X492" s="3" t="s">
        <v>24</v>
      </c>
      <c r="Y492" s="3" t="s">
        <v>69</v>
      </c>
      <c r="Z492" s="3" t="s">
        <v>23</v>
      </c>
      <c r="AA492" s="3" t="s">
        <v>25</v>
      </c>
      <c r="AB492" s="3" t="str">
        <f>IF(crimenes_cordoba_ampliado[[#This Row],[Hubo Arresto]]="Sí", "Resuelto", "Pendiente")</f>
        <v>Pendiente</v>
      </c>
      <c r="AC492" s="3" t="s">
        <v>24</v>
      </c>
      <c r="AD492" s="3"/>
    </row>
    <row r="493" spans="1:30" x14ac:dyDescent="0.25">
      <c r="A493">
        <v>491</v>
      </c>
      <c r="B493" s="1">
        <v>42455</v>
      </c>
      <c r="C493" s="33">
        <f t="shared" si="14"/>
        <v>42455</v>
      </c>
      <c r="D493" s="34">
        <f t="shared" si="15"/>
        <v>42455</v>
      </c>
      <c r="E493" s="35" t="s">
        <v>1451</v>
      </c>
      <c r="F493" s="2">
        <v>0.56805555555555554</v>
      </c>
      <c r="G493" s="3" t="s">
        <v>31</v>
      </c>
      <c r="H493" s="3" t="s">
        <v>58</v>
      </c>
      <c r="I493" s="25" t="str">
        <f>VLOOKUP(H493,Tabla5[#All],4,FALSE)</f>
        <v>-31,423018915313, -64,1493562190664</v>
      </c>
      <c r="J493" s="1">
        <v>20455</v>
      </c>
      <c r="K493" s="7">
        <f>INT((crimenes_cordoba_ampliado[[#This Row],[Fecha]]-crimenes_cordoba_ampliado[[#This Row],[Fecha Nac. Delincuente]])/365)</f>
        <v>60</v>
      </c>
      <c r="L493" s="7" t="str">
        <f>_xlfn.XLOOKUP(crimenes_cordoba_ampliado[[#This Row],[EDAD DELINCUENTE]],'Rango etareo'!$A$10:$A$25,'Rango etareo'!$B$10:$B$25,,-1)</f>
        <v>56 - 65</v>
      </c>
      <c r="M493" s="3" t="s">
        <v>21</v>
      </c>
      <c r="N493" s="3" t="str">
        <f>IF(crimenes_cordoba_ampliado[[#This Row],[Género Delincuente]]="Femenino","🚺","🚹")</f>
        <v>🚺</v>
      </c>
      <c r="O493">
        <v>3</v>
      </c>
      <c r="P493" s="1">
        <v>31766</v>
      </c>
      <c r="Q493" s="7">
        <f>INT((crimenes_cordoba_ampliado[[#This Row],[Fecha]]-crimenes_cordoba_ampliado[[#This Row],[Fecha Nac. Víctima]])/365)</f>
        <v>29</v>
      </c>
      <c r="R493" s="7" t="str">
        <f>_xlfn.XLOOKUP(crimenes_cordoba_ampliado[[#This Row],[EDAD VICTIMA]],'Rango etareo'!$A$2:$A$25,'Rango etareo'!$B$2:$B$25,,-1)</f>
        <v>26 - 35</v>
      </c>
      <c r="S493" s="3" t="s">
        <v>22</v>
      </c>
      <c r="T493" s="3" t="str">
        <f>IF(crimenes_cordoba_ampliado[[#This Row],[Género Víctima]]="Masculino","🚹","🚺")</f>
        <v>🚹</v>
      </c>
      <c r="U493">
        <v>1</v>
      </c>
      <c r="V493" s="3" t="s">
        <v>23</v>
      </c>
      <c r="W493" s="3" t="s">
        <v>24</v>
      </c>
      <c r="X493" s="3" t="s">
        <v>24</v>
      </c>
      <c r="Y493" s="3" t="s">
        <v>69</v>
      </c>
      <c r="Z493" s="3" t="s">
        <v>25</v>
      </c>
      <c r="AA493" s="3" t="s">
        <v>25</v>
      </c>
      <c r="AB493" s="3" t="str">
        <f>IF(crimenes_cordoba_ampliado[[#This Row],[Hubo Arresto]]="Sí", "Resuelto", "Pendiente")</f>
        <v>Resuelto</v>
      </c>
      <c r="AC493" s="3" t="s">
        <v>192</v>
      </c>
      <c r="AD493" s="3"/>
    </row>
    <row r="494" spans="1:30" x14ac:dyDescent="0.25">
      <c r="A494">
        <v>569</v>
      </c>
      <c r="B494" s="1">
        <v>43867</v>
      </c>
      <c r="C494" s="33">
        <f t="shared" si="14"/>
        <v>43867</v>
      </c>
      <c r="D494" s="34">
        <f t="shared" si="15"/>
        <v>43867</v>
      </c>
      <c r="E494" s="35" t="s">
        <v>1454</v>
      </c>
      <c r="F494" s="2">
        <v>0.51597222222222228</v>
      </c>
      <c r="G494" s="3" t="s">
        <v>54</v>
      </c>
      <c r="H494" s="3" t="s">
        <v>55</v>
      </c>
      <c r="I494" s="25" t="str">
        <f>VLOOKUP(H494,Tabla5[#All],4,FALSE)</f>
        <v>-31,4015892433235, -64,160442876477</v>
      </c>
      <c r="J494" s="1">
        <v>28426</v>
      </c>
      <c r="K494" s="7">
        <f>INT((crimenes_cordoba_ampliado[[#This Row],[Fecha]]-crimenes_cordoba_ampliado[[#This Row],[Fecha Nac. Delincuente]])/365)</f>
        <v>42</v>
      </c>
      <c r="L494" s="7" t="str">
        <f>_xlfn.XLOOKUP(crimenes_cordoba_ampliado[[#This Row],[EDAD DELINCUENTE]],'Rango etareo'!$A$10:$A$25,'Rango etareo'!$B$10:$B$25,,-1)</f>
        <v>36 - 45</v>
      </c>
      <c r="M494" s="3" t="s">
        <v>22</v>
      </c>
      <c r="N494" s="3" t="str">
        <f>IF(crimenes_cordoba_ampliado[[#This Row],[Género Delincuente]]="Femenino","🚺","🚹")</f>
        <v>🚹</v>
      </c>
      <c r="O494">
        <v>1</v>
      </c>
      <c r="P494" s="1">
        <v>31332</v>
      </c>
      <c r="Q494" s="7">
        <f>INT((crimenes_cordoba_ampliado[[#This Row],[Fecha]]-crimenes_cordoba_ampliado[[#This Row],[Fecha Nac. Víctima]])/365)</f>
        <v>34</v>
      </c>
      <c r="R494" s="7" t="str">
        <f>_xlfn.XLOOKUP(crimenes_cordoba_ampliado[[#This Row],[EDAD VICTIMA]],'Rango etareo'!$A$2:$A$25,'Rango etareo'!$B$2:$B$25,,-1)</f>
        <v>26 - 35</v>
      </c>
      <c r="S494" s="3" t="s">
        <v>21</v>
      </c>
      <c r="T494" s="3" t="str">
        <f>IF(crimenes_cordoba_ampliado[[#This Row],[Género Víctima]]="Masculino","🚹","🚺")</f>
        <v>🚺</v>
      </c>
      <c r="U494">
        <v>2</v>
      </c>
      <c r="V494" s="3" t="s">
        <v>25</v>
      </c>
      <c r="W494" s="3" t="s">
        <v>24</v>
      </c>
      <c r="X494" s="3" t="s">
        <v>24</v>
      </c>
      <c r="Y494" s="3" t="s">
        <v>39</v>
      </c>
      <c r="Z494" s="3" t="s">
        <v>25</v>
      </c>
      <c r="AA494" s="3" t="s">
        <v>25</v>
      </c>
      <c r="AB494" s="3" t="str">
        <f>IF(crimenes_cordoba_ampliado[[#This Row],[Hubo Arresto]]="Sí", "Resuelto", "Pendiente")</f>
        <v>Pendiente</v>
      </c>
      <c r="AC494" s="3" t="s">
        <v>24</v>
      </c>
      <c r="AD494" s="3"/>
    </row>
    <row r="495" spans="1:30" x14ac:dyDescent="0.25">
      <c r="A495">
        <v>886</v>
      </c>
      <c r="B495" s="1">
        <v>43871</v>
      </c>
      <c r="C495" s="33">
        <f t="shared" si="14"/>
        <v>43871</v>
      </c>
      <c r="D495" s="34">
        <f t="shared" si="15"/>
        <v>43871</v>
      </c>
      <c r="E495" s="35" t="s">
        <v>1452</v>
      </c>
      <c r="F495" s="2">
        <v>0.38333333333333336</v>
      </c>
      <c r="G495" s="3" t="s">
        <v>48</v>
      </c>
      <c r="H495" s="3" t="s">
        <v>28</v>
      </c>
      <c r="I495" s="25" t="str">
        <f>VLOOKUP(H495,Tabla5[#All],4,FALSE)</f>
        <v>-31,4129883640337, -64,1681120522587</v>
      </c>
      <c r="J495" s="1">
        <v>21463</v>
      </c>
      <c r="K495" s="7">
        <f>INT((crimenes_cordoba_ampliado[[#This Row],[Fecha]]-crimenes_cordoba_ampliado[[#This Row],[Fecha Nac. Delincuente]])/365)</f>
        <v>61</v>
      </c>
      <c r="L495" s="7" t="str">
        <f>_xlfn.XLOOKUP(crimenes_cordoba_ampliado[[#This Row],[EDAD DELINCUENTE]],'Rango etareo'!$A$10:$A$25,'Rango etareo'!$B$10:$B$25,,-1)</f>
        <v>56 - 65</v>
      </c>
      <c r="M495" s="3" t="s">
        <v>21</v>
      </c>
      <c r="N495" s="3" t="str">
        <f>IF(crimenes_cordoba_ampliado[[#This Row],[Género Delincuente]]="Femenino","🚺","🚹")</f>
        <v>🚺</v>
      </c>
      <c r="O495">
        <v>5</v>
      </c>
      <c r="P495" s="1">
        <v>23517</v>
      </c>
      <c r="Q495" s="7">
        <f>INT((crimenes_cordoba_ampliado[[#This Row],[Fecha]]-crimenes_cordoba_ampliado[[#This Row],[Fecha Nac. Víctima]])/365)</f>
        <v>55</v>
      </c>
      <c r="R495" s="7" t="str">
        <f>_xlfn.XLOOKUP(crimenes_cordoba_ampliado[[#This Row],[EDAD VICTIMA]],'Rango etareo'!$A$2:$A$25,'Rango etareo'!$B$2:$B$25,,-1)</f>
        <v>46 - 55</v>
      </c>
      <c r="S495" s="3" t="s">
        <v>21</v>
      </c>
      <c r="T495" s="3" t="str">
        <f>IF(crimenes_cordoba_ampliado[[#This Row],[Género Víctima]]="Masculino","🚹","🚺")</f>
        <v>🚺</v>
      </c>
      <c r="U495">
        <v>2</v>
      </c>
      <c r="V495" s="3" t="s">
        <v>25</v>
      </c>
      <c r="W495" s="3" t="s">
        <v>24</v>
      </c>
      <c r="X495" s="3" t="s">
        <v>24</v>
      </c>
      <c r="Y495" s="3" t="s">
        <v>43</v>
      </c>
      <c r="Z495" s="3" t="s">
        <v>23</v>
      </c>
      <c r="AA495" s="3" t="s">
        <v>25</v>
      </c>
      <c r="AB495" s="3" t="str">
        <f>IF(crimenes_cordoba_ampliado[[#This Row],[Hubo Arresto]]="Sí", "Resuelto", "Pendiente")</f>
        <v>Pendiente</v>
      </c>
      <c r="AC495" s="3" t="s">
        <v>24</v>
      </c>
      <c r="AD495" s="3"/>
    </row>
    <row r="496" spans="1:30" x14ac:dyDescent="0.25">
      <c r="A496">
        <v>498</v>
      </c>
      <c r="B496" s="1">
        <v>45654</v>
      </c>
      <c r="C496" s="33">
        <f t="shared" si="14"/>
        <v>45654</v>
      </c>
      <c r="D496" s="34">
        <f t="shared" si="15"/>
        <v>45654</v>
      </c>
      <c r="E496" s="35" t="s">
        <v>1451</v>
      </c>
      <c r="F496" s="2">
        <v>0.32291666666666669</v>
      </c>
      <c r="G496" s="3" t="s">
        <v>54</v>
      </c>
      <c r="H496" s="3" t="s">
        <v>49</v>
      </c>
      <c r="I496" s="25" t="str">
        <f>VLOOKUP(H496,Tabla5[#All],4,FALSE)</f>
        <v>-31,4506257494184, -64,1733054344705</v>
      </c>
      <c r="J496" s="1">
        <v>29673</v>
      </c>
      <c r="K496" s="7">
        <f>INT((crimenes_cordoba_ampliado[[#This Row],[Fecha]]-crimenes_cordoba_ampliado[[#This Row],[Fecha Nac. Delincuente]])/365)</f>
        <v>43</v>
      </c>
      <c r="L496" s="7" t="str">
        <f>_xlfn.XLOOKUP(crimenes_cordoba_ampliado[[#This Row],[EDAD DELINCUENTE]],'Rango etareo'!$A$10:$A$25,'Rango etareo'!$B$10:$B$25,,-1)</f>
        <v>36 - 45</v>
      </c>
      <c r="M496" s="3" t="s">
        <v>22</v>
      </c>
      <c r="N496" s="3" t="str">
        <f>IF(crimenes_cordoba_ampliado[[#This Row],[Género Delincuente]]="Femenino","🚺","🚹")</f>
        <v>🚹</v>
      </c>
      <c r="O496">
        <v>4</v>
      </c>
      <c r="P496" s="1">
        <v>18250</v>
      </c>
      <c r="Q496" s="7">
        <f>INT((crimenes_cordoba_ampliado[[#This Row],[Fecha]]-crimenes_cordoba_ampliado[[#This Row],[Fecha Nac. Víctima]])/365)</f>
        <v>75</v>
      </c>
      <c r="R496" s="7" t="str">
        <f>_xlfn.XLOOKUP(crimenes_cordoba_ampliado[[#This Row],[EDAD VICTIMA]],'Rango etareo'!$A$2:$A$25,'Rango etareo'!$B$2:$B$25,,-1)</f>
        <v>&gt;65</v>
      </c>
      <c r="S496" s="3" t="s">
        <v>21</v>
      </c>
      <c r="T496" s="3" t="str">
        <f>IF(crimenes_cordoba_ampliado[[#This Row],[Género Víctima]]="Masculino","🚹","🚺")</f>
        <v>🚺</v>
      </c>
      <c r="U496">
        <v>3</v>
      </c>
      <c r="V496" s="3" t="s">
        <v>23</v>
      </c>
      <c r="W496" s="3" t="s">
        <v>24</v>
      </c>
      <c r="X496" s="3" t="s">
        <v>24</v>
      </c>
      <c r="Y496" s="3" t="s">
        <v>113</v>
      </c>
      <c r="Z496" s="3" t="s">
        <v>25</v>
      </c>
      <c r="AA496" s="3" t="s">
        <v>23</v>
      </c>
      <c r="AB496" s="3" t="str">
        <f>IF(crimenes_cordoba_ampliado[[#This Row],[Hubo Arresto]]="Sí", "Resuelto", "Pendiente")</f>
        <v>Resuelto</v>
      </c>
      <c r="AC496" s="3" t="s">
        <v>253</v>
      </c>
      <c r="AD496" s="3"/>
    </row>
    <row r="497" spans="1:30" x14ac:dyDescent="0.25">
      <c r="A497">
        <v>438</v>
      </c>
      <c r="B497" s="1">
        <v>43882</v>
      </c>
      <c r="C497" s="33">
        <f t="shared" si="14"/>
        <v>43882</v>
      </c>
      <c r="D497" s="34">
        <f t="shared" si="15"/>
        <v>43882</v>
      </c>
      <c r="E497" s="35" t="s">
        <v>1455</v>
      </c>
      <c r="F497" s="2">
        <v>0.64583333333333337</v>
      </c>
      <c r="G497" s="3" t="s">
        <v>81</v>
      </c>
      <c r="H497" s="3" t="s">
        <v>55</v>
      </c>
      <c r="I497" s="25" t="str">
        <f>VLOOKUP(H497,Tabla5[#All],4,FALSE)</f>
        <v>-31,4015892433235, -64,160442876477</v>
      </c>
      <c r="J497" s="1">
        <v>28106</v>
      </c>
      <c r="K497" s="7">
        <f>INT((crimenes_cordoba_ampliado[[#This Row],[Fecha]]-crimenes_cordoba_ampliado[[#This Row],[Fecha Nac. Delincuente]])/365)</f>
        <v>43</v>
      </c>
      <c r="L497" s="7" t="str">
        <f>_xlfn.XLOOKUP(crimenes_cordoba_ampliado[[#This Row],[EDAD DELINCUENTE]],'Rango etareo'!$A$10:$A$25,'Rango etareo'!$B$10:$B$25,,-1)</f>
        <v>36 - 45</v>
      </c>
      <c r="M497" s="3" t="s">
        <v>21</v>
      </c>
      <c r="N497" s="3" t="str">
        <f>IF(crimenes_cordoba_ampliado[[#This Row],[Género Delincuente]]="Femenino","🚺","🚹")</f>
        <v>🚺</v>
      </c>
      <c r="O497">
        <v>1</v>
      </c>
      <c r="P497" s="1">
        <v>26724</v>
      </c>
      <c r="Q497" s="7">
        <f>INT((crimenes_cordoba_ampliado[[#This Row],[Fecha]]-crimenes_cordoba_ampliado[[#This Row],[Fecha Nac. Víctima]])/365)</f>
        <v>47</v>
      </c>
      <c r="R497" s="7" t="str">
        <f>_xlfn.XLOOKUP(crimenes_cordoba_ampliado[[#This Row],[EDAD VICTIMA]],'Rango etareo'!$A$2:$A$25,'Rango etareo'!$B$2:$B$25,,-1)</f>
        <v>46 - 55</v>
      </c>
      <c r="S497" s="3" t="s">
        <v>22</v>
      </c>
      <c r="T497" s="3" t="str">
        <f>IF(crimenes_cordoba_ampliado[[#This Row],[Género Víctima]]="Masculino","🚹","🚺")</f>
        <v>🚹</v>
      </c>
      <c r="U497">
        <v>2</v>
      </c>
      <c r="V497" s="3" t="s">
        <v>25</v>
      </c>
      <c r="W497" s="3" t="s">
        <v>24</v>
      </c>
      <c r="X497" s="3" t="s">
        <v>24</v>
      </c>
      <c r="Y497" s="3" t="s">
        <v>39</v>
      </c>
      <c r="Z497" s="3" t="s">
        <v>25</v>
      </c>
      <c r="AA497" s="3" t="s">
        <v>25</v>
      </c>
      <c r="AB497" s="3" t="str">
        <f>IF(crimenes_cordoba_ampliado[[#This Row],[Hubo Arresto]]="Sí", "Resuelto", "Pendiente")</f>
        <v>Pendiente</v>
      </c>
      <c r="AC497" s="3" t="s">
        <v>24</v>
      </c>
      <c r="AD497" s="3"/>
    </row>
    <row r="498" spans="1:30" x14ac:dyDescent="0.25">
      <c r="A498">
        <v>848</v>
      </c>
      <c r="B498" s="1">
        <v>43887</v>
      </c>
      <c r="C498" s="33">
        <f t="shared" si="14"/>
        <v>43887</v>
      </c>
      <c r="D498" s="34">
        <f t="shared" si="15"/>
        <v>43887</v>
      </c>
      <c r="E498" s="35" t="s">
        <v>1450</v>
      </c>
      <c r="F498" s="2">
        <v>0.78819444444444442</v>
      </c>
      <c r="G498" s="3" t="s">
        <v>51</v>
      </c>
      <c r="H498" s="3" t="s">
        <v>52</v>
      </c>
      <c r="I498" s="25" t="str">
        <f>VLOOKUP(H498,Tabla5[#All],4,FALSE)</f>
        <v>-31,3477902896523, -64,2644406169297</v>
      </c>
      <c r="J498" s="1">
        <v>19240</v>
      </c>
      <c r="K498" s="7">
        <f>INT((crimenes_cordoba_ampliado[[#This Row],[Fecha]]-crimenes_cordoba_ampliado[[#This Row],[Fecha Nac. Delincuente]])/365)</f>
        <v>67</v>
      </c>
      <c r="L498" s="7" t="str">
        <f>_xlfn.XLOOKUP(crimenes_cordoba_ampliado[[#This Row],[EDAD DELINCUENTE]],'Rango etareo'!$A$10:$A$25,'Rango etareo'!$B$10:$B$25,,-1)</f>
        <v>&gt;65</v>
      </c>
      <c r="M498" s="3" t="s">
        <v>22</v>
      </c>
      <c r="N498" s="3" t="str">
        <f>IF(crimenes_cordoba_ampliado[[#This Row],[Género Delincuente]]="Femenino","🚺","🚹")</f>
        <v>🚹</v>
      </c>
      <c r="O498">
        <v>1</v>
      </c>
      <c r="P498" s="1">
        <v>30744</v>
      </c>
      <c r="Q498" s="7">
        <f>INT((crimenes_cordoba_ampliado[[#This Row],[Fecha]]-crimenes_cordoba_ampliado[[#This Row],[Fecha Nac. Víctima]])/365)</f>
        <v>36</v>
      </c>
      <c r="R498" s="7" t="str">
        <f>_xlfn.XLOOKUP(crimenes_cordoba_ampliado[[#This Row],[EDAD VICTIMA]],'Rango etareo'!$A$2:$A$25,'Rango etareo'!$B$2:$B$25,,-1)</f>
        <v>36 - 45</v>
      </c>
      <c r="S498" s="3" t="s">
        <v>21</v>
      </c>
      <c r="T498" s="3" t="str">
        <f>IF(crimenes_cordoba_ampliado[[#This Row],[Género Víctima]]="Masculino","🚹","🚺")</f>
        <v>🚺</v>
      </c>
      <c r="U498">
        <v>2</v>
      </c>
      <c r="V498" s="3" t="s">
        <v>25</v>
      </c>
      <c r="W498" s="3" t="s">
        <v>24</v>
      </c>
      <c r="X498" s="3" t="s">
        <v>24</v>
      </c>
      <c r="Y498" s="3" t="s">
        <v>133</v>
      </c>
      <c r="Z498" s="3" t="s">
        <v>25</v>
      </c>
      <c r="AA498" s="3" t="s">
        <v>25</v>
      </c>
      <c r="AB498" s="3" t="str">
        <f>IF(crimenes_cordoba_ampliado[[#This Row],[Hubo Arresto]]="Sí", "Resuelto", "Pendiente")</f>
        <v>Pendiente</v>
      </c>
      <c r="AC498" s="3" t="s">
        <v>24</v>
      </c>
      <c r="AD498" s="3"/>
    </row>
    <row r="499" spans="1:30" x14ac:dyDescent="0.25">
      <c r="A499">
        <v>499</v>
      </c>
      <c r="B499" s="1">
        <v>45436</v>
      </c>
      <c r="C499" s="33">
        <f t="shared" si="14"/>
        <v>45436</v>
      </c>
      <c r="D499" s="34">
        <f t="shared" si="15"/>
        <v>45436</v>
      </c>
      <c r="E499" s="35" t="s">
        <v>1455</v>
      </c>
      <c r="F499" s="2">
        <v>0.34166666666666667</v>
      </c>
      <c r="G499" s="3" t="s">
        <v>31</v>
      </c>
      <c r="H499" s="3" t="s">
        <v>55</v>
      </c>
      <c r="I499" s="25" t="str">
        <f>VLOOKUP(H499,Tabla5[#All],4,FALSE)</f>
        <v>-31,4015892433235, -64,160442876477</v>
      </c>
      <c r="J499" s="1">
        <v>22764</v>
      </c>
      <c r="K499" s="7">
        <f>INT((crimenes_cordoba_ampliado[[#This Row],[Fecha]]-crimenes_cordoba_ampliado[[#This Row],[Fecha Nac. Delincuente]])/365)</f>
        <v>62</v>
      </c>
      <c r="L499" s="7" t="str">
        <f>_xlfn.XLOOKUP(crimenes_cordoba_ampliado[[#This Row],[EDAD DELINCUENTE]],'Rango etareo'!$A$10:$A$25,'Rango etareo'!$B$10:$B$25,,-1)</f>
        <v>56 - 65</v>
      </c>
      <c r="M499" s="3" t="s">
        <v>22</v>
      </c>
      <c r="N499" s="3" t="str">
        <f>IF(crimenes_cordoba_ampliado[[#This Row],[Género Delincuente]]="Femenino","🚺","🚹")</f>
        <v>🚹</v>
      </c>
      <c r="O499">
        <v>1</v>
      </c>
      <c r="P499" s="1">
        <v>33822</v>
      </c>
      <c r="Q499" s="7">
        <f>INT((crimenes_cordoba_ampliado[[#This Row],[Fecha]]-crimenes_cordoba_ampliado[[#This Row],[Fecha Nac. Víctima]])/365)</f>
        <v>31</v>
      </c>
      <c r="R499" s="7" t="str">
        <f>_xlfn.XLOOKUP(crimenes_cordoba_ampliado[[#This Row],[EDAD VICTIMA]],'Rango etareo'!$A$2:$A$25,'Rango etareo'!$B$2:$B$25,,-1)</f>
        <v>26 - 35</v>
      </c>
      <c r="S499" s="3" t="s">
        <v>21</v>
      </c>
      <c r="T499" s="3" t="str">
        <f>IF(crimenes_cordoba_ampliado[[#This Row],[Género Víctima]]="Masculino","🚹","🚺")</f>
        <v>🚺</v>
      </c>
      <c r="U499">
        <v>3</v>
      </c>
      <c r="V499" s="3" t="s">
        <v>23</v>
      </c>
      <c r="W499" s="3" t="s">
        <v>24</v>
      </c>
      <c r="X499" s="3" t="s">
        <v>24</v>
      </c>
      <c r="Y499" s="3" t="s">
        <v>24</v>
      </c>
      <c r="Z499" s="3" t="s">
        <v>25</v>
      </c>
      <c r="AA499" s="3" t="s">
        <v>23</v>
      </c>
      <c r="AB499" s="3" t="str">
        <f>IF(crimenes_cordoba_ampliado[[#This Row],[Hubo Arresto]]="Sí", "Resuelto", "Pendiente")</f>
        <v>Resuelto</v>
      </c>
      <c r="AC499" s="3" t="s">
        <v>154</v>
      </c>
      <c r="AD499" s="3"/>
    </row>
    <row r="500" spans="1:30" x14ac:dyDescent="0.25">
      <c r="A500">
        <v>833</v>
      </c>
      <c r="B500" s="1">
        <v>43891</v>
      </c>
      <c r="C500" s="33">
        <f t="shared" si="14"/>
        <v>43891</v>
      </c>
      <c r="D500" s="34">
        <f t="shared" si="15"/>
        <v>43891</v>
      </c>
      <c r="E500" s="35" t="s">
        <v>1449</v>
      </c>
      <c r="F500" s="2">
        <v>0.89236111111111116</v>
      </c>
      <c r="G500" s="3" t="s">
        <v>48</v>
      </c>
      <c r="H500" s="3" t="s">
        <v>49</v>
      </c>
      <c r="I500" s="25" t="str">
        <f>VLOOKUP(H500,Tabla5[#All],4,FALSE)</f>
        <v>-31,4506257494184, -64,1733054344705</v>
      </c>
      <c r="J500" s="1">
        <v>24450</v>
      </c>
      <c r="K500" s="7">
        <f>INT((crimenes_cordoba_ampliado[[#This Row],[Fecha]]-crimenes_cordoba_ampliado[[#This Row],[Fecha Nac. Delincuente]])/365)</f>
        <v>53</v>
      </c>
      <c r="L500" s="7" t="str">
        <f>_xlfn.XLOOKUP(crimenes_cordoba_ampliado[[#This Row],[EDAD DELINCUENTE]],'Rango etareo'!$A$10:$A$25,'Rango etareo'!$B$10:$B$25,,-1)</f>
        <v>46 - 55</v>
      </c>
      <c r="M500" s="3" t="s">
        <v>21</v>
      </c>
      <c r="N500" s="3" t="str">
        <f>IF(crimenes_cordoba_ampliado[[#This Row],[Género Delincuente]]="Femenino","🚺","🚹")</f>
        <v>🚺</v>
      </c>
      <c r="O500">
        <v>3</v>
      </c>
      <c r="P500" s="1">
        <v>41146</v>
      </c>
      <c r="Q500" s="7">
        <f>INT((crimenes_cordoba_ampliado[[#This Row],[Fecha]]-crimenes_cordoba_ampliado[[#This Row],[Fecha Nac. Víctima]])/365)</f>
        <v>7</v>
      </c>
      <c r="R500" s="7" t="str">
        <f>_xlfn.XLOOKUP(crimenes_cordoba_ampliado[[#This Row],[EDAD VICTIMA]],'Rango etareo'!$A$2:$A$25,'Rango etareo'!$B$2:$B$25,,-1)</f>
        <v>&lt;=17</v>
      </c>
      <c r="S500" s="3" t="s">
        <v>21</v>
      </c>
      <c r="T500" s="3" t="str">
        <f>IF(crimenes_cordoba_ampliado[[#This Row],[Género Víctima]]="Masculino","🚹","🚺")</f>
        <v>🚺</v>
      </c>
      <c r="U500">
        <v>1</v>
      </c>
      <c r="V500" s="3" t="s">
        <v>25</v>
      </c>
      <c r="W500" s="3" t="s">
        <v>24</v>
      </c>
      <c r="X500" s="3" t="s">
        <v>24</v>
      </c>
      <c r="Y500" s="3" t="s">
        <v>106</v>
      </c>
      <c r="Z500" s="3" t="s">
        <v>23</v>
      </c>
      <c r="AA500" s="3" t="s">
        <v>23</v>
      </c>
      <c r="AB500" s="3" t="str">
        <f>IF(crimenes_cordoba_ampliado[[#This Row],[Hubo Arresto]]="Sí", "Resuelto", "Pendiente")</f>
        <v>Pendiente</v>
      </c>
      <c r="AC500" s="3" t="s">
        <v>24</v>
      </c>
      <c r="AD500" s="3"/>
    </row>
    <row r="501" spans="1:30" x14ac:dyDescent="0.25">
      <c r="A501">
        <v>501</v>
      </c>
      <c r="B501" s="1">
        <v>45476</v>
      </c>
      <c r="C501" s="33">
        <f t="shared" si="14"/>
        <v>45476</v>
      </c>
      <c r="D501" s="34">
        <f t="shared" si="15"/>
        <v>45476</v>
      </c>
      <c r="E501" s="35" t="s">
        <v>1450</v>
      </c>
      <c r="F501" s="2">
        <v>0.70347222222222228</v>
      </c>
      <c r="G501" s="3" t="s">
        <v>31</v>
      </c>
      <c r="H501" s="3" t="s">
        <v>62</v>
      </c>
      <c r="I501" s="25" t="str">
        <f>VLOOKUP(H501,Tabla5[#All],4,FALSE)</f>
        <v>-31,3909520937826, -64,1836424491715</v>
      </c>
      <c r="J501" s="1">
        <v>27809</v>
      </c>
      <c r="K501" s="7">
        <f>INT((crimenes_cordoba_ampliado[[#This Row],[Fecha]]-crimenes_cordoba_ampliado[[#This Row],[Fecha Nac. Delincuente]])/365)</f>
        <v>48</v>
      </c>
      <c r="L501" s="7" t="str">
        <f>_xlfn.XLOOKUP(crimenes_cordoba_ampliado[[#This Row],[EDAD DELINCUENTE]],'Rango etareo'!$A$10:$A$25,'Rango etareo'!$B$10:$B$25,,-1)</f>
        <v>46 - 55</v>
      </c>
      <c r="M501" s="3" t="s">
        <v>22</v>
      </c>
      <c r="N501" s="3" t="str">
        <f>IF(crimenes_cordoba_ampliado[[#This Row],[Género Delincuente]]="Femenino","🚺","🚹")</f>
        <v>🚹</v>
      </c>
      <c r="O501">
        <v>3</v>
      </c>
      <c r="P501" s="1">
        <v>25727</v>
      </c>
      <c r="Q501" s="7">
        <f>INT((crimenes_cordoba_ampliado[[#This Row],[Fecha]]-crimenes_cordoba_ampliado[[#This Row],[Fecha Nac. Víctima]])/365)</f>
        <v>54</v>
      </c>
      <c r="R501" s="7" t="str">
        <f>_xlfn.XLOOKUP(crimenes_cordoba_ampliado[[#This Row],[EDAD VICTIMA]],'Rango etareo'!$A$2:$A$25,'Rango etareo'!$B$2:$B$25,,-1)</f>
        <v>46 - 55</v>
      </c>
      <c r="S501" s="3" t="s">
        <v>22</v>
      </c>
      <c r="T501" s="3" t="str">
        <f>IF(crimenes_cordoba_ampliado[[#This Row],[Género Víctima]]="Masculino","🚹","🚺")</f>
        <v>🚹</v>
      </c>
      <c r="U501">
        <v>3</v>
      </c>
      <c r="V501" s="3" t="s">
        <v>23</v>
      </c>
      <c r="W501" s="3" t="s">
        <v>24</v>
      </c>
      <c r="X501" s="3" t="s">
        <v>24</v>
      </c>
      <c r="Y501" s="3" t="s">
        <v>86</v>
      </c>
      <c r="Z501" s="3" t="s">
        <v>25</v>
      </c>
      <c r="AA501" s="3" t="s">
        <v>23</v>
      </c>
      <c r="AB501" s="3" t="str">
        <f>IF(crimenes_cordoba_ampliado[[#This Row],[Hubo Arresto]]="Sí", "Resuelto", "Pendiente")</f>
        <v>Resuelto</v>
      </c>
      <c r="AC501" s="3" t="s">
        <v>145</v>
      </c>
      <c r="AD501" s="3"/>
    </row>
    <row r="502" spans="1:30" x14ac:dyDescent="0.25">
      <c r="A502">
        <v>292</v>
      </c>
      <c r="B502" s="1">
        <v>43908</v>
      </c>
      <c r="C502" s="33">
        <f t="shared" si="14"/>
        <v>43908</v>
      </c>
      <c r="D502" s="34">
        <f t="shared" si="15"/>
        <v>43908</v>
      </c>
      <c r="E502" s="35" t="s">
        <v>1450</v>
      </c>
      <c r="F502" s="2">
        <v>0.87430555555555556</v>
      </c>
      <c r="G502" s="3" t="s">
        <v>45</v>
      </c>
      <c r="H502" s="3" t="s">
        <v>49</v>
      </c>
      <c r="I502" s="25" t="str">
        <f>VLOOKUP(H502,Tabla5[#All],4,FALSE)</f>
        <v>-31,4506257494184, -64,1733054344705</v>
      </c>
      <c r="J502" s="1">
        <v>30084</v>
      </c>
      <c r="K502" s="7">
        <f>INT((crimenes_cordoba_ampliado[[#This Row],[Fecha]]-crimenes_cordoba_ampliado[[#This Row],[Fecha Nac. Delincuente]])/365)</f>
        <v>37</v>
      </c>
      <c r="L502" s="7" t="str">
        <f>_xlfn.XLOOKUP(crimenes_cordoba_ampliado[[#This Row],[EDAD DELINCUENTE]],'Rango etareo'!$A$10:$A$25,'Rango etareo'!$B$10:$B$25,,-1)</f>
        <v>36 - 45</v>
      </c>
      <c r="M502" s="3" t="s">
        <v>21</v>
      </c>
      <c r="N502" s="3" t="str">
        <f>IF(crimenes_cordoba_ampliado[[#This Row],[Género Delincuente]]="Femenino","🚺","🚹")</f>
        <v>🚺</v>
      </c>
      <c r="O502">
        <v>4</v>
      </c>
      <c r="P502" s="1">
        <v>26836</v>
      </c>
      <c r="Q502" s="7">
        <f>INT((crimenes_cordoba_ampliado[[#This Row],[Fecha]]-crimenes_cordoba_ampliado[[#This Row],[Fecha Nac. Víctima]])/365)</f>
        <v>46</v>
      </c>
      <c r="R502" s="7" t="str">
        <f>_xlfn.XLOOKUP(crimenes_cordoba_ampliado[[#This Row],[EDAD VICTIMA]],'Rango etareo'!$A$2:$A$25,'Rango etareo'!$B$2:$B$25,,-1)</f>
        <v>46 - 55</v>
      </c>
      <c r="S502" s="3" t="s">
        <v>21</v>
      </c>
      <c r="T502" s="3" t="str">
        <f>IF(crimenes_cordoba_ampliado[[#This Row],[Género Víctima]]="Masculino","🚹","🚺")</f>
        <v>🚺</v>
      </c>
      <c r="U502">
        <v>2</v>
      </c>
      <c r="V502" s="3" t="s">
        <v>25</v>
      </c>
      <c r="W502" s="3" t="s">
        <v>83</v>
      </c>
      <c r="X502" s="3" t="s">
        <v>24</v>
      </c>
      <c r="Y502" s="3" t="s">
        <v>99</v>
      </c>
      <c r="Z502" s="3" t="s">
        <v>25</v>
      </c>
      <c r="AA502" s="3" t="s">
        <v>25</v>
      </c>
      <c r="AB502" s="3" t="str">
        <f>IF(crimenes_cordoba_ampliado[[#This Row],[Hubo Arresto]]="Sí", "Resuelto", "Pendiente")</f>
        <v>Pendiente</v>
      </c>
      <c r="AC502" s="3" t="s">
        <v>24</v>
      </c>
      <c r="AD502" s="3"/>
    </row>
    <row r="503" spans="1:30" x14ac:dyDescent="0.25">
      <c r="A503">
        <v>503</v>
      </c>
      <c r="B503" s="1">
        <v>44235</v>
      </c>
      <c r="C503" s="33">
        <f t="shared" si="14"/>
        <v>44235</v>
      </c>
      <c r="D503" s="34">
        <f t="shared" si="15"/>
        <v>44235</v>
      </c>
      <c r="E503" s="35" t="s">
        <v>1452</v>
      </c>
      <c r="F503" s="2">
        <v>0.21249999999999999</v>
      </c>
      <c r="G503" s="3" t="s">
        <v>51</v>
      </c>
      <c r="H503" s="3" t="s">
        <v>58</v>
      </c>
      <c r="I503" s="25" t="str">
        <f>VLOOKUP(H503,Tabla5[#All],4,FALSE)</f>
        <v>-31,423018915313, -64,1493562190664</v>
      </c>
      <c r="J503" s="1">
        <v>24228</v>
      </c>
      <c r="K503" s="7">
        <f>INT((crimenes_cordoba_ampliado[[#This Row],[Fecha]]-crimenes_cordoba_ampliado[[#This Row],[Fecha Nac. Delincuente]])/365)</f>
        <v>54</v>
      </c>
      <c r="L503" s="7" t="str">
        <f>_xlfn.XLOOKUP(crimenes_cordoba_ampliado[[#This Row],[EDAD DELINCUENTE]],'Rango etareo'!$A$10:$A$25,'Rango etareo'!$B$10:$B$25,,-1)</f>
        <v>46 - 55</v>
      </c>
      <c r="M503" s="3" t="s">
        <v>21</v>
      </c>
      <c r="N503" s="3" t="str">
        <f>IF(crimenes_cordoba_ampliado[[#This Row],[Género Delincuente]]="Femenino","🚺","🚹")</f>
        <v>🚺</v>
      </c>
      <c r="O503">
        <v>5</v>
      </c>
      <c r="P503" s="1">
        <v>25246</v>
      </c>
      <c r="Q503" s="7">
        <f>INT((crimenes_cordoba_ampliado[[#This Row],[Fecha]]-crimenes_cordoba_ampliado[[#This Row],[Fecha Nac. Víctima]])/365)</f>
        <v>52</v>
      </c>
      <c r="R503" s="7" t="str">
        <f>_xlfn.XLOOKUP(crimenes_cordoba_ampliado[[#This Row],[EDAD VICTIMA]],'Rango etareo'!$A$2:$A$25,'Rango etareo'!$B$2:$B$25,,-1)</f>
        <v>46 - 55</v>
      </c>
      <c r="S503" s="3" t="s">
        <v>22</v>
      </c>
      <c r="T503" s="3" t="str">
        <f>IF(crimenes_cordoba_ampliado[[#This Row],[Género Víctima]]="Masculino","🚹","🚺")</f>
        <v>🚹</v>
      </c>
      <c r="U503">
        <v>1</v>
      </c>
      <c r="V503" s="3" t="s">
        <v>23</v>
      </c>
      <c r="W503" s="3" t="s">
        <v>24</v>
      </c>
      <c r="X503" s="3" t="s">
        <v>24</v>
      </c>
      <c r="Y503" s="3" t="s">
        <v>106</v>
      </c>
      <c r="Z503" s="3" t="s">
        <v>25</v>
      </c>
      <c r="AA503" s="3" t="s">
        <v>25</v>
      </c>
      <c r="AB503" s="3" t="str">
        <f>IF(crimenes_cordoba_ampliado[[#This Row],[Hubo Arresto]]="Sí", "Resuelto", "Pendiente")</f>
        <v>Resuelto</v>
      </c>
      <c r="AC503" s="3" t="s">
        <v>200</v>
      </c>
      <c r="AD503" s="3"/>
    </row>
    <row r="504" spans="1:30" x14ac:dyDescent="0.25">
      <c r="A504">
        <v>152</v>
      </c>
      <c r="B504" s="1">
        <v>43916</v>
      </c>
      <c r="C504" s="33">
        <f t="shared" si="14"/>
        <v>43916</v>
      </c>
      <c r="D504" s="34">
        <f t="shared" si="15"/>
        <v>43916</v>
      </c>
      <c r="E504" s="35" t="s">
        <v>1454</v>
      </c>
      <c r="F504" s="2">
        <v>0.48125000000000001</v>
      </c>
      <c r="G504" s="3" t="s">
        <v>35</v>
      </c>
      <c r="H504" s="3" t="s">
        <v>52</v>
      </c>
      <c r="I504" s="25" t="str">
        <f>VLOOKUP(H504,Tabla5[#All],4,FALSE)</f>
        <v>-31,3477902896523, -64,2644406169297</v>
      </c>
      <c r="J504" s="1">
        <v>32461</v>
      </c>
      <c r="K504" s="7">
        <f>INT((crimenes_cordoba_ampliado[[#This Row],[Fecha]]-crimenes_cordoba_ampliado[[#This Row],[Fecha Nac. Delincuente]])/365)</f>
        <v>31</v>
      </c>
      <c r="L504" s="7" t="str">
        <f>_xlfn.XLOOKUP(crimenes_cordoba_ampliado[[#This Row],[EDAD DELINCUENTE]],'Rango etareo'!$A$10:$A$25,'Rango etareo'!$B$10:$B$25,,-1)</f>
        <v>26 - 35</v>
      </c>
      <c r="M504" s="3" t="s">
        <v>22</v>
      </c>
      <c r="N504" s="3" t="str">
        <f>IF(crimenes_cordoba_ampliado[[#This Row],[Género Delincuente]]="Femenino","🚺","🚹")</f>
        <v>🚹</v>
      </c>
      <c r="O504">
        <v>4</v>
      </c>
      <c r="P504" s="1">
        <v>32790</v>
      </c>
      <c r="Q504" s="7">
        <f>INT((crimenes_cordoba_ampliado[[#This Row],[Fecha]]-crimenes_cordoba_ampliado[[#This Row],[Fecha Nac. Víctima]])/365)</f>
        <v>30</v>
      </c>
      <c r="R504" s="7" t="str">
        <f>_xlfn.XLOOKUP(crimenes_cordoba_ampliado[[#This Row],[EDAD VICTIMA]],'Rango etareo'!$A$2:$A$25,'Rango etareo'!$B$2:$B$25,,-1)</f>
        <v>26 - 35</v>
      </c>
      <c r="S504" s="3" t="s">
        <v>21</v>
      </c>
      <c r="T504" s="3" t="str">
        <f>IF(crimenes_cordoba_ampliado[[#This Row],[Género Víctima]]="Masculino","🚹","🚺")</f>
        <v>🚺</v>
      </c>
      <c r="U504">
        <v>1</v>
      </c>
      <c r="V504" s="3" t="s">
        <v>25</v>
      </c>
      <c r="W504" s="3" t="s">
        <v>24</v>
      </c>
      <c r="X504" s="3" t="s">
        <v>24</v>
      </c>
      <c r="Y504" s="3" t="s">
        <v>43</v>
      </c>
      <c r="Z504" s="3" t="s">
        <v>25</v>
      </c>
      <c r="AA504" s="3" t="s">
        <v>23</v>
      </c>
      <c r="AB504" s="3" t="str">
        <f>IF(crimenes_cordoba_ampliado[[#This Row],[Hubo Arresto]]="Sí", "Resuelto", "Pendiente")</f>
        <v>Pendiente</v>
      </c>
      <c r="AC504" s="3" t="s">
        <v>24</v>
      </c>
      <c r="AD504" s="3"/>
    </row>
    <row r="505" spans="1:30" x14ac:dyDescent="0.25">
      <c r="A505">
        <v>32</v>
      </c>
      <c r="B505" s="1">
        <v>43918</v>
      </c>
      <c r="C505" s="33">
        <f t="shared" si="14"/>
        <v>43918</v>
      </c>
      <c r="D505" s="34">
        <f t="shared" si="15"/>
        <v>43918</v>
      </c>
      <c r="E505" s="35" t="s">
        <v>1451</v>
      </c>
      <c r="F505" s="2">
        <v>0.7055555555555556</v>
      </c>
      <c r="G505" s="3" t="s">
        <v>38</v>
      </c>
      <c r="H505" s="3" t="s">
        <v>49</v>
      </c>
      <c r="I505" s="25" t="str">
        <f>VLOOKUP(H505,Tabla5[#All],4,FALSE)</f>
        <v>-31,4506257494184, -64,1733054344705</v>
      </c>
      <c r="J505" s="1">
        <v>32677</v>
      </c>
      <c r="K505" s="7">
        <f>INT((crimenes_cordoba_ampliado[[#This Row],[Fecha]]-crimenes_cordoba_ampliado[[#This Row],[Fecha Nac. Delincuente]])/365)</f>
        <v>30</v>
      </c>
      <c r="L505" s="7" t="str">
        <f>_xlfn.XLOOKUP(crimenes_cordoba_ampliado[[#This Row],[EDAD DELINCUENTE]],'Rango etareo'!$A$10:$A$25,'Rango etareo'!$B$10:$B$25,,-1)</f>
        <v>26 - 35</v>
      </c>
      <c r="M505" s="3" t="s">
        <v>22</v>
      </c>
      <c r="N505" s="3" t="str">
        <f>IF(crimenes_cordoba_ampliado[[#This Row],[Género Delincuente]]="Femenino","🚺","🚹")</f>
        <v>🚹</v>
      </c>
      <c r="O505">
        <v>3</v>
      </c>
      <c r="P505" s="1">
        <v>33411</v>
      </c>
      <c r="Q505" s="7">
        <f>INT((crimenes_cordoba_ampliado[[#This Row],[Fecha]]-crimenes_cordoba_ampliado[[#This Row],[Fecha Nac. Víctima]])/365)</f>
        <v>28</v>
      </c>
      <c r="R505" s="7" t="str">
        <f>_xlfn.XLOOKUP(crimenes_cordoba_ampliado[[#This Row],[EDAD VICTIMA]],'Rango etareo'!$A$2:$A$25,'Rango etareo'!$B$2:$B$25,,-1)</f>
        <v>26 - 35</v>
      </c>
      <c r="S505" s="3" t="s">
        <v>21</v>
      </c>
      <c r="T505" s="3" t="str">
        <f>IF(crimenes_cordoba_ampliado[[#This Row],[Género Víctima]]="Masculino","🚹","🚺")</f>
        <v>🚺</v>
      </c>
      <c r="U505">
        <v>1</v>
      </c>
      <c r="V505" s="3" t="s">
        <v>25</v>
      </c>
      <c r="W505" s="3" t="s">
        <v>24</v>
      </c>
      <c r="X505" s="3" t="s">
        <v>67</v>
      </c>
      <c r="Y505" s="3" t="s">
        <v>24</v>
      </c>
      <c r="Z505" s="3" t="s">
        <v>23</v>
      </c>
      <c r="AA505" s="3" t="s">
        <v>25</v>
      </c>
      <c r="AB505" s="3" t="str">
        <f>IF(crimenes_cordoba_ampliado[[#This Row],[Hubo Arresto]]="Sí", "Resuelto", "Pendiente")</f>
        <v>Pendiente</v>
      </c>
      <c r="AC505" s="3" t="s">
        <v>24</v>
      </c>
      <c r="AD505" s="3"/>
    </row>
    <row r="506" spans="1:30" x14ac:dyDescent="0.25">
      <c r="A506">
        <v>371</v>
      </c>
      <c r="B506" s="1">
        <v>43924</v>
      </c>
      <c r="C506" s="33">
        <f t="shared" si="14"/>
        <v>43924</v>
      </c>
      <c r="D506" s="34">
        <f t="shared" si="15"/>
        <v>43924</v>
      </c>
      <c r="E506" s="35" t="s">
        <v>1455</v>
      </c>
      <c r="F506" s="2">
        <v>2.013888888888889E-2</v>
      </c>
      <c r="G506" s="3" t="s">
        <v>38</v>
      </c>
      <c r="H506" s="3" t="s">
        <v>32</v>
      </c>
      <c r="I506" s="25" t="str">
        <f>VLOOKUP(H506,Tabla5[#All],4,FALSE)</f>
        <v>-31,4148488101991, -64,1793406489438</v>
      </c>
      <c r="J506" s="1">
        <v>30582</v>
      </c>
      <c r="K506" s="7">
        <f>INT((crimenes_cordoba_ampliado[[#This Row],[Fecha]]-crimenes_cordoba_ampliado[[#This Row],[Fecha Nac. Delincuente]])/365)</f>
        <v>36</v>
      </c>
      <c r="L506" s="7" t="str">
        <f>_xlfn.XLOOKUP(crimenes_cordoba_ampliado[[#This Row],[EDAD DELINCUENTE]],'Rango etareo'!$A$10:$A$25,'Rango etareo'!$B$10:$B$25,,-1)</f>
        <v>36 - 45</v>
      </c>
      <c r="M506" s="3" t="s">
        <v>21</v>
      </c>
      <c r="N506" s="3" t="str">
        <f>IF(crimenes_cordoba_ampliado[[#This Row],[Género Delincuente]]="Femenino","🚺","🚹")</f>
        <v>🚺</v>
      </c>
      <c r="O506">
        <v>2</v>
      </c>
      <c r="P506" s="1">
        <v>26208</v>
      </c>
      <c r="Q506" s="7">
        <f>INT((crimenes_cordoba_ampliado[[#This Row],[Fecha]]-crimenes_cordoba_ampliado[[#This Row],[Fecha Nac. Víctima]])/365)</f>
        <v>48</v>
      </c>
      <c r="R506" s="7" t="str">
        <f>_xlfn.XLOOKUP(crimenes_cordoba_ampliado[[#This Row],[EDAD VICTIMA]],'Rango etareo'!$A$2:$A$25,'Rango etareo'!$B$2:$B$25,,-1)</f>
        <v>46 - 55</v>
      </c>
      <c r="S506" s="3" t="s">
        <v>22</v>
      </c>
      <c r="T506" s="3" t="str">
        <f>IF(crimenes_cordoba_ampliado[[#This Row],[Género Víctima]]="Masculino","🚹","🚺")</f>
        <v>🚹</v>
      </c>
      <c r="U506">
        <v>2</v>
      </c>
      <c r="V506" s="3" t="s">
        <v>25</v>
      </c>
      <c r="W506" s="3" t="s">
        <v>24</v>
      </c>
      <c r="X506" s="3" t="s">
        <v>24</v>
      </c>
      <c r="Y506" s="3" t="s">
        <v>24</v>
      </c>
      <c r="Z506" s="3" t="s">
        <v>23</v>
      </c>
      <c r="AA506" s="3" t="s">
        <v>23</v>
      </c>
      <c r="AB506" s="3" t="str">
        <f>IF(crimenes_cordoba_ampliado[[#This Row],[Hubo Arresto]]="Sí", "Resuelto", "Pendiente")</f>
        <v>Pendiente</v>
      </c>
      <c r="AC506" s="3" t="s">
        <v>24</v>
      </c>
      <c r="AD506" s="3"/>
    </row>
    <row r="507" spans="1:30" x14ac:dyDescent="0.25">
      <c r="A507">
        <v>603</v>
      </c>
      <c r="B507" s="1">
        <v>43943</v>
      </c>
      <c r="C507" s="33">
        <f t="shared" si="14"/>
        <v>43943</v>
      </c>
      <c r="D507" s="34">
        <f t="shared" si="15"/>
        <v>43943</v>
      </c>
      <c r="E507" s="35" t="s">
        <v>1450</v>
      </c>
      <c r="F507" s="2">
        <v>0.71805555555555556</v>
      </c>
      <c r="G507" s="3" t="s">
        <v>19</v>
      </c>
      <c r="H507" s="3" t="s">
        <v>55</v>
      </c>
      <c r="I507" s="25" t="str">
        <f>VLOOKUP(H507,Tabla5[#All],4,FALSE)</f>
        <v>-31,4015892433235, -64,160442876477</v>
      </c>
      <c r="J507" s="1">
        <v>26646</v>
      </c>
      <c r="K507" s="7">
        <f>INT((crimenes_cordoba_ampliado[[#This Row],[Fecha]]-crimenes_cordoba_ampliado[[#This Row],[Fecha Nac. Delincuente]])/365)</f>
        <v>47</v>
      </c>
      <c r="L507" s="7" t="str">
        <f>_xlfn.XLOOKUP(crimenes_cordoba_ampliado[[#This Row],[EDAD DELINCUENTE]],'Rango etareo'!$A$10:$A$25,'Rango etareo'!$B$10:$B$25,,-1)</f>
        <v>46 - 55</v>
      </c>
      <c r="M507" s="3" t="s">
        <v>21</v>
      </c>
      <c r="N507" s="3" t="str">
        <f>IF(crimenes_cordoba_ampliado[[#This Row],[Género Delincuente]]="Femenino","🚺","🚹")</f>
        <v>🚺</v>
      </c>
      <c r="O507">
        <v>3</v>
      </c>
      <c r="P507" s="1">
        <v>32527</v>
      </c>
      <c r="Q507" s="7">
        <f>INT((crimenes_cordoba_ampliado[[#This Row],[Fecha]]-crimenes_cordoba_ampliado[[#This Row],[Fecha Nac. Víctima]])/365)</f>
        <v>31</v>
      </c>
      <c r="R507" s="7" t="str">
        <f>_xlfn.XLOOKUP(crimenes_cordoba_ampliado[[#This Row],[EDAD VICTIMA]],'Rango etareo'!$A$2:$A$25,'Rango etareo'!$B$2:$B$25,,-1)</f>
        <v>26 - 35</v>
      </c>
      <c r="S507" s="3" t="s">
        <v>21</v>
      </c>
      <c r="T507" s="3" t="str">
        <f>IF(crimenes_cordoba_ampliado[[#This Row],[Género Víctima]]="Masculino","🚹","🚺")</f>
        <v>🚺</v>
      </c>
      <c r="U507">
        <v>1</v>
      </c>
      <c r="V507" s="3" t="s">
        <v>25</v>
      </c>
      <c r="W507" s="3" t="s">
        <v>24</v>
      </c>
      <c r="X507" s="3" t="s">
        <v>24</v>
      </c>
      <c r="Y507" s="3" t="s">
        <v>24</v>
      </c>
      <c r="Z507" s="3" t="s">
        <v>25</v>
      </c>
      <c r="AA507" s="3" t="s">
        <v>23</v>
      </c>
      <c r="AB507" s="3" t="str">
        <f>IF(crimenes_cordoba_ampliado[[#This Row],[Hubo Arresto]]="Sí", "Resuelto", "Pendiente")</f>
        <v>Pendiente</v>
      </c>
      <c r="AC507" s="3" t="s">
        <v>24</v>
      </c>
      <c r="AD507" s="3"/>
    </row>
    <row r="508" spans="1:30" x14ac:dyDescent="0.25">
      <c r="A508">
        <v>506</v>
      </c>
      <c r="B508" s="1">
        <v>45495</v>
      </c>
      <c r="C508" s="33">
        <f t="shared" si="14"/>
        <v>45495</v>
      </c>
      <c r="D508" s="34">
        <f t="shared" si="15"/>
        <v>45495</v>
      </c>
      <c r="E508" s="35" t="s">
        <v>1452</v>
      </c>
      <c r="F508" s="2">
        <v>0.92986111111111114</v>
      </c>
      <c r="G508" s="3" t="s">
        <v>48</v>
      </c>
      <c r="H508" s="3" t="s">
        <v>40</v>
      </c>
      <c r="I508" s="25" t="str">
        <f>VLOOKUP(H508,Tabla5[#All],4,FALSE)</f>
        <v>-31,334500143441, -64,2460773260564</v>
      </c>
      <c r="J508" s="1">
        <v>33405</v>
      </c>
      <c r="K508" s="7">
        <f>INT((crimenes_cordoba_ampliado[[#This Row],[Fecha]]-crimenes_cordoba_ampliado[[#This Row],[Fecha Nac. Delincuente]])/365)</f>
        <v>33</v>
      </c>
      <c r="L508" s="7" t="str">
        <f>_xlfn.XLOOKUP(crimenes_cordoba_ampliado[[#This Row],[EDAD DELINCUENTE]],'Rango etareo'!$A$10:$A$25,'Rango etareo'!$B$10:$B$25,,-1)</f>
        <v>26 - 35</v>
      </c>
      <c r="M508" s="3" t="s">
        <v>22</v>
      </c>
      <c r="N508" s="3" t="str">
        <f>IF(crimenes_cordoba_ampliado[[#This Row],[Género Delincuente]]="Femenino","🚺","🚹")</f>
        <v>🚹</v>
      </c>
      <c r="O508">
        <v>2</v>
      </c>
      <c r="P508" s="1">
        <v>39642</v>
      </c>
      <c r="Q508" s="7">
        <f>INT((crimenes_cordoba_ampliado[[#This Row],[Fecha]]-crimenes_cordoba_ampliado[[#This Row],[Fecha Nac. Víctima]])/365)</f>
        <v>16</v>
      </c>
      <c r="R508" s="7" t="str">
        <f>_xlfn.XLOOKUP(crimenes_cordoba_ampliado[[#This Row],[EDAD VICTIMA]],'Rango etareo'!$A$2:$A$25,'Rango etareo'!$B$2:$B$25,,-1)</f>
        <v>&lt;=17</v>
      </c>
      <c r="S508" s="3" t="s">
        <v>22</v>
      </c>
      <c r="T508" s="3" t="str">
        <f>IF(crimenes_cordoba_ampliado[[#This Row],[Género Víctima]]="Masculino","🚹","🚺")</f>
        <v>🚹</v>
      </c>
      <c r="U508">
        <v>3</v>
      </c>
      <c r="V508" s="3" t="s">
        <v>23</v>
      </c>
      <c r="W508" s="3" t="s">
        <v>24</v>
      </c>
      <c r="X508" s="3" t="s">
        <v>24</v>
      </c>
      <c r="Y508" s="3" t="s">
        <v>133</v>
      </c>
      <c r="Z508" s="3" t="s">
        <v>25</v>
      </c>
      <c r="AA508" s="3" t="s">
        <v>23</v>
      </c>
      <c r="AB508" s="3" t="str">
        <f>IF(crimenes_cordoba_ampliado[[#This Row],[Hubo Arresto]]="Sí", "Resuelto", "Pendiente")</f>
        <v>Resuelto</v>
      </c>
      <c r="AC508" s="3" t="s">
        <v>204</v>
      </c>
      <c r="AD508" s="3"/>
    </row>
    <row r="509" spans="1:30" x14ac:dyDescent="0.25">
      <c r="A509">
        <v>571</v>
      </c>
      <c r="B509" s="1">
        <v>43948</v>
      </c>
      <c r="C509" s="33">
        <f t="shared" si="14"/>
        <v>43948</v>
      </c>
      <c r="D509" s="34">
        <f t="shared" si="15"/>
        <v>43948</v>
      </c>
      <c r="E509" s="35" t="s">
        <v>1452</v>
      </c>
      <c r="F509" s="2">
        <v>0.53611111111111109</v>
      </c>
      <c r="G509" s="3" t="s">
        <v>54</v>
      </c>
      <c r="H509" s="3" t="s">
        <v>49</v>
      </c>
      <c r="I509" s="25" t="str">
        <f>VLOOKUP(H509,Tabla5[#All],4,FALSE)</f>
        <v>-31,4506257494184, -64,1733054344705</v>
      </c>
      <c r="J509" s="1">
        <v>36871</v>
      </c>
      <c r="K509" s="7">
        <f>INT((crimenes_cordoba_ampliado[[#This Row],[Fecha]]-crimenes_cordoba_ampliado[[#This Row],[Fecha Nac. Delincuente]])/365)</f>
        <v>19</v>
      </c>
      <c r="L509" s="7" t="str">
        <f>_xlfn.XLOOKUP(crimenes_cordoba_ampliado[[#This Row],[EDAD DELINCUENTE]],'Rango etareo'!$A$10:$A$25,'Rango etareo'!$B$10:$B$25,,-1)</f>
        <v>18 - 25</v>
      </c>
      <c r="M509" s="3" t="s">
        <v>21</v>
      </c>
      <c r="N509" s="3" t="str">
        <f>IF(crimenes_cordoba_ampliado[[#This Row],[Género Delincuente]]="Femenino","🚺","🚹")</f>
        <v>🚺</v>
      </c>
      <c r="O509">
        <v>2</v>
      </c>
      <c r="P509" s="1">
        <v>26076</v>
      </c>
      <c r="Q509" s="7">
        <f>INT((crimenes_cordoba_ampliado[[#This Row],[Fecha]]-crimenes_cordoba_ampliado[[#This Row],[Fecha Nac. Víctima]])/365)</f>
        <v>48</v>
      </c>
      <c r="R509" s="7" t="str">
        <f>_xlfn.XLOOKUP(crimenes_cordoba_ampliado[[#This Row],[EDAD VICTIMA]],'Rango etareo'!$A$2:$A$25,'Rango etareo'!$B$2:$B$25,,-1)</f>
        <v>46 - 55</v>
      </c>
      <c r="S509" s="3" t="s">
        <v>21</v>
      </c>
      <c r="T509" s="3" t="str">
        <f>IF(crimenes_cordoba_ampliado[[#This Row],[Género Víctima]]="Masculino","🚹","🚺")</f>
        <v>🚺</v>
      </c>
      <c r="U509">
        <v>1</v>
      </c>
      <c r="V509" s="3" t="s">
        <v>25</v>
      </c>
      <c r="W509" s="3" t="s">
        <v>24</v>
      </c>
      <c r="X509" s="3" t="s">
        <v>24</v>
      </c>
      <c r="Y509" s="3" t="s">
        <v>53</v>
      </c>
      <c r="Z509" s="3" t="s">
        <v>23</v>
      </c>
      <c r="AA509" s="3" t="s">
        <v>23</v>
      </c>
      <c r="AB509" s="3" t="str">
        <f>IF(crimenes_cordoba_ampliado[[#This Row],[Hubo Arresto]]="Sí", "Resuelto", "Pendiente")</f>
        <v>Pendiente</v>
      </c>
      <c r="AC509" s="3" t="s">
        <v>24</v>
      </c>
      <c r="AD509" s="3"/>
    </row>
    <row r="510" spans="1:30" x14ac:dyDescent="0.25">
      <c r="A510">
        <v>507</v>
      </c>
      <c r="B510" s="1">
        <v>43443</v>
      </c>
      <c r="C510" s="33">
        <f t="shared" si="14"/>
        <v>43443</v>
      </c>
      <c r="D510" s="34">
        <f t="shared" si="15"/>
        <v>43443</v>
      </c>
      <c r="E510" s="35" t="s">
        <v>1449</v>
      </c>
      <c r="F510" s="2">
        <v>0.65555555555555556</v>
      </c>
      <c r="G510" s="3" t="s">
        <v>31</v>
      </c>
      <c r="H510" s="3" t="s">
        <v>65</v>
      </c>
      <c r="I510" s="25" t="str">
        <f>VLOOKUP(H510,Tabla5[#All],4,FALSE)</f>
        <v>-31,4285567311661, -64,1853198281007</v>
      </c>
      <c r="J510" s="1">
        <v>24518</v>
      </c>
      <c r="K510" s="7">
        <f>INT((crimenes_cordoba_ampliado[[#This Row],[Fecha]]-crimenes_cordoba_ampliado[[#This Row],[Fecha Nac. Delincuente]])/365)</f>
        <v>51</v>
      </c>
      <c r="L510" s="7" t="str">
        <f>_xlfn.XLOOKUP(crimenes_cordoba_ampliado[[#This Row],[EDAD DELINCUENTE]],'Rango etareo'!$A$10:$A$25,'Rango etareo'!$B$10:$B$25,,-1)</f>
        <v>46 - 55</v>
      </c>
      <c r="M510" s="3" t="s">
        <v>22</v>
      </c>
      <c r="N510" s="3" t="str">
        <f>IF(crimenes_cordoba_ampliado[[#This Row],[Género Delincuente]]="Femenino","🚺","🚹")</f>
        <v>🚹</v>
      </c>
      <c r="O510">
        <v>1</v>
      </c>
      <c r="P510" s="1">
        <v>37836</v>
      </c>
      <c r="Q510" s="7">
        <f>INT((crimenes_cordoba_ampliado[[#This Row],[Fecha]]-crimenes_cordoba_ampliado[[#This Row],[Fecha Nac. Víctima]])/365)</f>
        <v>15</v>
      </c>
      <c r="R510" s="7" t="str">
        <f>_xlfn.XLOOKUP(crimenes_cordoba_ampliado[[#This Row],[EDAD VICTIMA]],'Rango etareo'!$A$2:$A$25,'Rango etareo'!$B$2:$B$25,,-1)</f>
        <v>&lt;=17</v>
      </c>
      <c r="S510" s="3" t="s">
        <v>21</v>
      </c>
      <c r="T510" s="3" t="str">
        <f>IF(crimenes_cordoba_ampliado[[#This Row],[Género Víctima]]="Masculino","🚹","🚺")</f>
        <v>🚺</v>
      </c>
      <c r="U510">
        <v>3</v>
      </c>
      <c r="V510" s="3" t="s">
        <v>23</v>
      </c>
      <c r="W510" s="3" t="s">
        <v>24</v>
      </c>
      <c r="X510" s="3" t="s">
        <v>24</v>
      </c>
      <c r="Y510" s="3" t="s">
        <v>69</v>
      </c>
      <c r="Z510" s="3" t="s">
        <v>25</v>
      </c>
      <c r="AA510" s="3" t="s">
        <v>25</v>
      </c>
      <c r="AB510" s="3" t="str">
        <f>IF(crimenes_cordoba_ampliado[[#This Row],[Hubo Arresto]]="Sí", "Resuelto", "Pendiente")</f>
        <v>Resuelto</v>
      </c>
      <c r="AC510" s="3" t="s">
        <v>254</v>
      </c>
      <c r="AD510" s="3"/>
    </row>
    <row r="511" spans="1:30" x14ac:dyDescent="0.25">
      <c r="A511">
        <v>508</v>
      </c>
      <c r="B511" s="1">
        <v>45074</v>
      </c>
      <c r="C511" s="33">
        <f t="shared" si="14"/>
        <v>45074</v>
      </c>
      <c r="D511" s="34">
        <f t="shared" si="15"/>
        <v>45074</v>
      </c>
      <c r="E511" s="35" t="s">
        <v>1449</v>
      </c>
      <c r="F511" s="2">
        <v>0.92708333333333337</v>
      </c>
      <c r="G511" s="3" t="s">
        <v>38</v>
      </c>
      <c r="H511" s="3" t="s">
        <v>32</v>
      </c>
      <c r="I511" s="25" t="str">
        <f>VLOOKUP(H511,Tabla5[#All],4,FALSE)</f>
        <v>-31,4148488101991, -64,1793406489438</v>
      </c>
      <c r="J511" s="1">
        <v>31755</v>
      </c>
      <c r="K511" s="7">
        <f>INT((crimenes_cordoba_ampliado[[#This Row],[Fecha]]-crimenes_cordoba_ampliado[[#This Row],[Fecha Nac. Delincuente]])/365)</f>
        <v>36</v>
      </c>
      <c r="L511" s="7" t="str">
        <f>_xlfn.XLOOKUP(crimenes_cordoba_ampliado[[#This Row],[EDAD DELINCUENTE]],'Rango etareo'!$A$10:$A$25,'Rango etareo'!$B$10:$B$25,,-1)</f>
        <v>36 - 45</v>
      </c>
      <c r="M511" s="3" t="s">
        <v>22</v>
      </c>
      <c r="N511" s="3" t="str">
        <f>IF(crimenes_cordoba_ampliado[[#This Row],[Género Delincuente]]="Femenino","🚺","🚹")</f>
        <v>🚹</v>
      </c>
      <c r="O511">
        <v>2</v>
      </c>
      <c r="P511" s="1">
        <v>22145</v>
      </c>
      <c r="Q511" s="7">
        <f>INT((crimenes_cordoba_ampliado[[#This Row],[Fecha]]-crimenes_cordoba_ampliado[[#This Row],[Fecha Nac. Víctima]])/365)</f>
        <v>62</v>
      </c>
      <c r="R511" s="7" t="str">
        <f>_xlfn.XLOOKUP(crimenes_cordoba_ampliado[[#This Row],[EDAD VICTIMA]],'Rango etareo'!$A$2:$A$25,'Rango etareo'!$B$2:$B$25,,-1)</f>
        <v>56 - 65</v>
      </c>
      <c r="S511" s="3" t="s">
        <v>21</v>
      </c>
      <c r="T511" s="3" t="str">
        <f>IF(crimenes_cordoba_ampliado[[#This Row],[Género Víctima]]="Masculino","🚹","🚺")</f>
        <v>🚺</v>
      </c>
      <c r="U511">
        <v>3</v>
      </c>
      <c r="V511" s="3" t="s">
        <v>23</v>
      </c>
      <c r="W511" s="3" t="s">
        <v>71</v>
      </c>
      <c r="X511" s="3" t="s">
        <v>50</v>
      </c>
      <c r="Y511" s="3" t="s">
        <v>24</v>
      </c>
      <c r="Z511" s="3" t="s">
        <v>23</v>
      </c>
      <c r="AA511" s="3" t="s">
        <v>23</v>
      </c>
      <c r="AB511" s="3" t="str">
        <f>IF(crimenes_cordoba_ampliado[[#This Row],[Hubo Arresto]]="Sí", "Resuelto", "Pendiente")</f>
        <v>Resuelto</v>
      </c>
      <c r="AC511" s="3" t="s">
        <v>255</v>
      </c>
      <c r="AD511" s="3"/>
    </row>
    <row r="512" spans="1:30" x14ac:dyDescent="0.25">
      <c r="A512">
        <v>511</v>
      </c>
      <c r="B512" s="1">
        <v>44277</v>
      </c>
      <c r="C512" s="33">
        <f t="shared" si="14"/>
        <v>44277</v>
      </c>
      <c r="D512" s="34">
        <f t="shared" si="15"/>
        <v>44277</v>
      </c>
      <c r="E512" s="35" t="s">
        <v>1452</v>
      </c>
      <c r="F512" s="2">
        <v>0.39305555555555555</v>
      </c>
      <c r="G512" s="3" t="s">
        <v>27</v>
      </c>
      <c r="H512" s="3" t="s">
        <v>49</v>
      </c>
      <c r="I512" s="25" t="str">
        <f>VLOOKUP(H512,Tabla5[#All],4,FALSE)</f>
        <v>-31,4506257494184, -64,1733054344705</v>
      </c>
      <c r="J512" s="1">
        <v>36526</v>
      </c>
      <c r="K512" s="7">
        <f>INT((crimenes_cordoba_ampliado[[#This Row],[Fecha]]-crimenes_cordoba_ampliado[[#This Row],[Fecha Nac. Delincuente]])/365)</f>
        <v>21</v>
      </c>
      <c r="L512" s="7" t="str">
        <f>_xlfn.XLOOKUP(crimenes_cordoba_ampliado[[#This Row],[EDAD DELINCUENTE]],'Rango etareo'!$A$10:$A$25,'Rango etareo'!$B$10:$B$25,,-1)</f>
        <v>18 - 25</v>
      </c>
      <c r="M512" s="3" t="s">
        <v>21</v>
      </c>
      <c r="N512" s="3" t="str">
        <f>IF(crimenes_cordoba_ampliado[[#This Row],[Género Delincuente]]="Femenino","🚺","🚹")</f>
        <v>🚺</v>
      </c>
      <c r="O512">
        <v>2</v>
      </c>
      <c r="P512" s="1">
        <v>37774</v>
      </c>
      <c r="Q512" s="7">
        <f>INT((crimenes_cordoba_ampliado[[#This Row],[Fecha]]-crimenes_cordoba_ampliado[[#This Row],[Fecha Nac. Víctima]])/365)</f>
        <v>17</v>
      </c>
      <c r="R512" s="7" t="str">
        <f>_xlfn.XLOOKUP(crimenes_cordoba_ampliado[[#This Row],[EDAD VICTIMA]],'Rango etareo'!$A$2:$A$25,'Rango etareo'!$B$2:$B$25,,-1)</f>
        <v>&lt;=17</v>
      </c>
      <c r="S512" s="3" t="s">
        <v>21</v>
      </c>
      <c r="T512" s="3" t="str">
        <f>IF(crimenes_cordoba_ampliado[[#This Row],[Género Víctima]]="Masculino","🚹","🚺")</f>
        <v>🚺</v>
      </c>
      <c r="U512">
        <v>1</v>
      </c>
      <c r="V512" s="3" t="s">
        <v>23</v>
      </c>
      <c r="W512" s="3" t="s">
        <v>24</v>
      </c>
      <c r="X512" s="3" t="s">
        <v>24</v>
      </c>
      <c r="Y512" s="3" t="s">
        <v>89</v>
      </c>
      <c r="Z512" s="3" t="s">
        <v>25</v>
      </c>
      <c r="AA512" s="3" t="s">
        <v>25</v>
      </c>
      <c r="AB512" s="3" t="str">
        <f>IF(crimenes_cordoba_ampliado[[#This Row],[Hubo Arresto]]="Sí", "Resuelto", "Pendiente")</f>
        <v>Resuelto</v>
      </c>
      <c r="AC512" s="3" t="s">
        <v>256</v>
      </c>
      <c r="AD512" s="3"/>
    </row>
    <row r="513" spans="1:30" x14ac:dyDescent="0.25">
      <c r="A513">
        <v>616</v>
      </c>
      <c r="B513" s="1">
        <v>43958</v>
      </c>
      <c r="C513" s="33">
        <f t="shared" si="14"/>
        <v>43958</v>
      </c>
      <c r="D513" s="34">
        <f t="shared" si="15"/>
        <v>43958</v>
      </c>
      <c r="E513" s="35" t="s">
        <v>1454</v>
      </c>
      <c r="F513" s="2">
        <v>0.50486111111111109</v>
      </c>
      <c r="G513" s="3" t="s">
        <v>54</v>
      </c>
      <c r="H513" s="3" t="s">
        <v>20</v>
      </c>
      <c r="I513" s="25" t="str">
        <f>VLOOKUP(H513,Tabla5[#All],4,FALSE)</f>
        <v>-31,4800162965848, -64,2094200976892</v>
      </c>
      <c r="J513" s="1">
        <v>22846</v>
      </c>
      <c r="K513" s="7">
        <f>INT((crimenes_cordoba_ampliado[[#This Row],[Fecha]]-crimenes_cordoba_ampliado[[#This Row],[Fecha Nac. Delincuente]])/365)</f>
        <v>57</v>
      </c>
      <c r="L513" s="7" t="str">
        <f>_xlfn.XLOOKUP(crimenes_cordoba_ampliado[[#This Row],[EDAD DELINCUENTE]],'Rango etareo'!$A$10:$A$25,'Rango etareo'!$B$10:$B$25,,-1)</f>
        <v>56 - 65</v>
      </c>
      <c r="M513" s="3" t="s">
        <v>22</v>
      </c>
      <c r="N513" s="3" t="str">
        <f>IF(crimenes_cordoba_ampliado[[#This Row],[Género Delincuente]]="Femenino","🚺","🚹")</f>
        <v>🚹</v>
      </c>
      <c r="O513">
        <v>1</v>
      </c>
      <c r="P513" s="1">
        <v>37756</v>
      </c>
      <c r="Q513" s="7">
        <f>INT((crimenes_cordoba_ampliado[[#This Row],[Fecha]]-crimenes_cordoba_ampliado[[#This Row],[Fecha Nac. Víctima]])/365)</f>
        <v>16</v>
      </c>
      <c r="R513" s="7" t="str">
        <f>_xlfn.XLOOKUP(crimenes_cordoba_ampliado[[#This Row],[EDAD VICTIMA]],'Rango etareo'!$A$2:$A$25,'Rango etareo'!$B$2:$B$25,,-1)</f>
        <v>&lt;=17</v>
      </c>
      <c r="S513" s="3" t="s">
        <v>22</v>
      </c>
      <c r="T513" s="3" t="str">
        <f>IF(crimenes_cordoba_ampliado[[#This Row],[Género Víctima]]="Masculino","🚹","🚺")</f>
        <v>🚹</v>
      </c>
      <c r="U513">
        <v>1</v>
      </c>
      <c r="V513" s="3" t="s">
        <v>25</v>
      </c>
      <c r="W513" s="3" t="s">
        <v>24</v>
      </c>
      <c r="X513" s="3" t="s">
        <v>24</v>
      </c>
      <c r="Y513" s="3" t="s">
        <v>56</v>
      </c>
      <c r="Z513" s="3" t="s">
        <v>25</v>
      </c>
      <c r="AA513" s="3" t="s">
        <v>25</v>
      </c>
      <c r="AB513" s="3" t="str">
        <f>IF(crimenes_cordoba_ampliado[[#This Row],[Hubo Arresto]]="Sí", "Resuelto", "Pendiente")</f>
        <v>Pendiente</v>
      </c>
      <c r="AC513" s="3" t="s">
        <v>24</v>
      </c>
      <c r="AD513" s="3"/>
    </row>
    <row r="514" spans="1:30" x14ac:dyDescent="0.25">
      <c r="A514">
        <v>910</v>
      </c>
      <c r="B514" s="1">
        <v>43964</v>
      </c>
      <c r="C514" s="33">
        <f t="shared" ref="C514:C577" si="16">B:B</f>
        <v>43964</v>
      </c>
      <c r="D514" s="34">
        <f t="shared" ref="D514:D577" si="17">B:B</f>
        <v>43964</v>
      </c>
      <c r="E514" s="35" t="s">
        <v>1450</v>
      </c>
      <c r="F514" s="2">
        <v>0.39027777777777778</v>
      </c>
      <c r="G514" s="3" t="s">
        <v>54</v>
      </c>
      <c r="H514" s="3" t="s">
        <v>60</v>
      </c>
      <c r="I514" s="25" t="str">
        <f>VLOOKUP(H514,Tabla5[#All],4,FALSE)</f>
        <v>-31,4076397196409, -64,2020170430678</v>
      </c>
      <c r="J514" s="1">
        <v>37729</v>
      </c>
      <c r="K514" s="7">
        <f>INT((crimenes_cordoba_ampliado[[#This Row],[Fecha]]-crimenes_cordoba_ampliado[[#This Row],[Fecha Nac. Delincuente]])/365)</f>
        <v>17</v>
      </c>
      <c r="L514" s="7" t="str">
        <f>_xlfn.XLOOKUP(crimenes_cordoba_ampliado[[#This Row],[EDAD DELINCUENTE]],'Rango etareo'!$A$10:$A$25,'Rango etareo'!$B$10:$B$25,,-1)</f>
        <v>&lt;=17</v>
      </c>
      <c r="M514" s="3" t="s">
        <v>22</v>
      </c>
      <c r="N514" s="3" t="str">
        <f>IF(crimenes_cordoba_ampliado[[#This Row],[Género Delincuente]]="Femenino","🚺","🚹")</f>
        <v>🚹</v>
      </c>
      <c r="O514">
        <v>2</v>
      </c>
      <c r="P514" s="1">
        <v>15712</v>
      </c>
      <c r="Q514" s="7">
        <f>INT((crimenes_cordoba_ampliado[[#This Row],[Fecha]]-crimenes_cordoba_ampliado[[#This Row],[Fecha Nac. Víctima]])/365)</f>
        <v>77</v>
      </c>
      <c r="R514" s="7" t="str">
        <f>_xlfn.XLOOKUP(crimenes_cordoba_ampliado[[#This Row],[EDAD VICTIMA]],'Rango etareo'!$A$2:$A$25,'Rango etareo'!$B$2:$B$25,,-1)</f>
        <v>&gt;65</v>
      </c>
      <c r="S514" s="3" t="s">
        <v>22</v>
      </c>
      <c r="T514" s="3" t="str">
        <f>IF(crimenes_cordoba_ampliado[[#This Row],[Género Víctima]]="Masculino","🚹","🚺")</f>
        <v>🚹</v>
      </c>
      <c r="U514">
        <v>2</v>
      </c>
      <c r="V514" s="3" t="s">
        <v>25</v>
      </c>
      <c r="W514" s="3" t="s">
        <v>24</v>
      </c>
      <c r="X514" s="3" t="s">
        <v>24</v>
      </c>
      <c r="Y514" s="3" t="s">
        <v>39</v>
      </c>
      <c r="Z514" s="3" t="s">
        <v>25</v>
      </c>
      <c r="AA514" s="3" t="s">
        <v>25</v>
      </c>
      <c r="AB514" s="3" t="str">
        <f>IF(crimenes_cordoba_ampliado[[#This Row],[Hubo Arresto]]="Sí", "Resuelto", "Pendiente")</f>
        <v>Pendiente</v>
      </c>
      <c r="AC514" s="3" t="s">
        <v>24</v>
      </c>
      <c r="AD514" s="3"/>
    </row>
    <row r="515" spans="1:30" x14ac:dyDescent="0.25">
      <c r="A515">
        <v>512</v>
      </c>
      <c r="B515" s="1">
        <v>44969</v>
      </c>
      <c r="C515" s="33">
        <f t="shared" si="16"/>
        <v>44969</v>
      </c>
      <c r="D515" s="34">
        <f t="shared" si="17"/>
        <v>44969</v>
      </c>
      <c r="E515" s="35" t="s">
        <v>1449</v>
      </c>
      <c r="F515" s="2">
        <v>1.9444444444444445E-2</v>
      </c>
      <c r="G515" s="3" t="s">
        <v>54</v>
      </c>
      <c r="H515" s="3" t="s">
        <v>28</v>
      </c>
      <c r="I515" s="25" t="str">
        <f>VLOOKUP(H515,Tabla5[#All],4,FALSE)</f>
        <v>-31,4129883640337, -64,1681120522587</v>
      </c>
      <c r="J515" s="1">
        <v>29678</v>
      </c>
      <c r="K515" s="7">
        <f>INT((crimenes_cordoba_ampliado[[#This Row],[Fecha]]-crimenes_cordoba_ampliado[[#This Row],[Fecha Nac. Delincuente]])/365)</f>
        <v>41</v>
      </c>
      <c r="L515" s="7" t="str">
        <f>_xlfn.XLOOKUP(crimenes_cordoba_ampliado[[#This Row],[EDAD DELINCUENTE]],'Rango etareo'!$A$10:$A$25,'Rango etareo'!$B$10:$B$25,,-1)</f>
        <v>36 - 45</v>
      </c>
      <c r="M515" s="3" t="s">
        <v>22</v>
      </c>
      <c r="N515" s="3" t="str">
        <f>IF(crimenes_cordoba_ampliado[[#This Row],[Género Delincuente]]="Femenino","🚺","🚹")</f>
        <v>🚹</v>
      </c>
      <c r="O515">
        <v>5</v>
      </c>
      <c r="P515" s="1">
        <v>21605</v>
      </c>
      <c r="Q515" s="7">
        <f>INT((crimenes_cordoba_ampliado[[#This Row],[Fecha]]-crimenes_cordoba_ampliado[[#This Row],[Fecha Nac. Víctima]])/365)</f>
        <v>64</v>
      </c>
      <c r="R515" s="7" t="str">
        <f>_xlfn.XLOOKUP(crimenes_cordoba_ampliado[[#This Row],[EDAD VICTIMA]],'Rango etareo'!$A$2:$A$25,'Rango etareo'!$B$2:$B$25,,-1)</f>
        <v>56 - 65</v>
      </c>
      <c r="S515" s="3" t="s">
        <v>22</v>
      </c>
      <c r="T515" s="3" t="str">
        <f>IF(crimenes_cordoba_ampliado[[#This Row],[Género Víctima]]="Masculino","🚹","🚺")</f>
        <v>🚹</v>
      </c>
      <c r="U515">
        <v>3</v>
      </c>
      <c r="V515" s="3" t="s">
        <v>23</v>
      </c>
      <c r="W515" s="3" t="s">
        <v>24</v>
      </c>
      <c r="X515" s="3" t="s">
        <v>24</v>
      </c>
      <c r="Y515" s="3" t="s">
        <v>86</v>
      </c>
      <c r="Z515" s="3" t="s">
        <v>25</v>
      </c>
      <c r="AA515" s="3" t="s">
        <v>25</v>
      </c>
      <c r="AB515" s="3" t="str">
        <f>IF(crimenes_cordoba_ampliado[[#This Row],[Hubo Arresto]]="Sí", "Resuelto", "Pendiente")</f>
        <v>Resuelto</v>
      </c>
      <c r="AC515" s="3" t="s">
        <v>196</v>
      </c>
      <c r="AD515" s="3"/>
    </row>
    <row r="516" spans="1:30" x14ac:dyDescent="0.25">
      <c r="A516">
        <v>513</v>
      </c>
      <c r="B516" s="1">
        <v>44492</v>
      </c>
      <c r="C516" s="33">
        <f t="shared" si="16"/>
        <v>44492</v>
      </c>
      <c r="D516" s="34">
        <f t="shared" si="17"/>
        <v>44492</v>
      </c>
      <c r="E516" s="35" t="s">
        <v>1451</v>
      </c>
      <c r="F516" s="2">
        <v>0.88749999999999996</v>
      </c>
      <c r="G516" s="3" t="s">
        <v>48</v>
      </c>
      <c r="H516" s="3" t="s">
        <v>60</v>
      </c>
      <c r="I516" s="25" t="str">
        <f>VLOOKUP(H516,Tabla5[#All],4,FALSE)</f>
        <v>-31,4076397196409, -64,2020170430678</v>
      </c>
      <c r="J516" s="1">
        <v>20923</v>
      </c>
      <c r="K516" s="7">
        <f>INT((crimenes_cordoba_ampliado[[#This Row],[Fecha]]-crimenes_cordoba_ampliado[[#This Row],[Fecha Nac. Delincuente]])/365)</f>
        <v>64</v>
      </c>
      <c r="L516" s="7" t="str">
        <f>_xlfn.XLOOKUP(crimenes_cordoba_ampliado[[#This Row],[EDAD DELINCUENTE]],'Rango etareo'!$A$10:$A$25,'Rango etareo'!$B$10:$B$25,,-1)</f>
        <v>56 - 65</v>
      </c>
      <c r="M516" s="3" t="s">
        <v>22</v>
      </c>
      <c r="N516" s="3" t="str">
        <f>IF(crimenes_cordoba_ampliado[[#This Row],[Género Delincuente]]="Femenino","🚺","🚹")</f>
        <v>🚹</v>
      </c>
      <c r="O516">
        <v>4</v>
      </c>
      <c r="P516" s="1">
        <v>15033</v>
      </c>
      <c r="Q516" s="7">
        <f>INT((crimenes_cordoba_ampliado[[#This Row],[Fecha]]-crimenes_cordoba_ampliado[[#This Row],[Fecha Nac. Víctima]])/365)</f>
        <v>80</v>
      </c>
      <c r="R516" s="7" t="str">
        <f>_xlfn.XLOOKUP(crimenes_cordoba_ampliado[[#This Row],[EDAD VICTIMA]],'Rango etareo'!$A$2:$A$25,'Rango etareo'!$B$2:$B$25,,-1)</f>
        <v>&gt;65</v>
      </c>
      <c r="S516" s="3" t="s">
        <v>22</v>
      </c>
      <c r="T516" s="3" t="str">
        <f>IF(crimenes_cordoba_ampliado[[#This Row],[Género Víctima]]="Masculino","🚹","🚺")</f>
        <v>🚹</v>
      </c>
      <c r="U516">
        <v>3</v>
      </c>
      <c r="V516" s="3" t="s">
        <v>23</v>
      </c>
      <c r="W516" s="3" t="s">
        <v>24</v>
      </c>
      <c r="X516" s="3" t="s">
        <v>24</v>
      </c>
      <c r="Y516" s="3" t="s">
        <v>33</v>
      </c>
      <c r="Z516" s="3" t="s">
        <v>25</v>
      </c>
      <c r="AA516" s="3" t="s">
        <v>25</v>
      </c>
      <c r="AB516" s="3" t="str">
        <f>IF(crimenes_cordoba_ampliado[[#This Row],[Hubo Arresto]]="Sí", "Resuelto", "Pendiente")</f>
        <v>Resuelto</v>
      </c>
      <c r="AC516" s="3" t="s">
        <v>257</v>
      </c>
      <c r="AD516" s="3"/>
    </row>
    <row r="517" spans="1:30" x14ac:dyDescent="0.25">
      <c r="A517">
        <v>406</v>
      </c>
      <c r="B517" s="1">
        <v>43968</v>
      </c>
      <c r="C517" s="33">
        <f t="shared" si="16"/>
        <v>43968</v>
      </c>
      <c r="D517" s="34">
        <f t="shared" si="17"/>
        <v>43968</v>
      </c>
      <c r="E517" s="35" t="s">
        <v>1449</v>
      </c>
      <c r="F517" s="2">
        <v>0.60347222222222219</v>
      </c>
      <c r="G517" s="3" t="s">
        <v>35</v>
      </c>
      <c r="H517" s="3" t="s">
        <v>20</v>
      </c>
      <c r="I517" s="25" t="str">
        <f>VLOOKUP(H517,Tabla5[#All],4,FALSE)</f>
        <v>-31,4800162965848, -64,2094200976892</v>
      </c>
      <c r="J517" s="1">
        <v>31142</v>
      </c>
      <c r="K517" s="7">
        <f>INT((crimenes_cordoba_ampliado[[#This Row],[Fecha]]-crimenes_cordoba_ampliado[[#This Row],[Fecha Nac. Delincuente]])/365)</f>
        <v>35</v>
      </c>
      <c r="L517" s="7" t="str">
        <f>_xlfn.XLOOKUP(crimenes_cordoba_ampliado[[#This Row],[EDAD DELINCUENTE]],'Rango etareo'!$A$10:$A$25,'Rango etareo'!$B$10:$B$25,,-1)</f>
        <v>26 - 35</v>
      </c>
      <c r="M517" s="3" t="s">
        <v>22</v>
      </c>
      <c r="N517" s="3" t="str">
        <f>IF(crimenes_cordoba_ampliado[[#This Row],[Género Delincuente]]="Femenino","🚺","🚹")</f>
        <v>🚹</v>
      </c>
      <c r="O517">
        <v>3</v>
      </c>
      <c r="P517" s="1">
        <v>15808</v>
      </c>
      <c r="Q517" s="7">
        <f>INT((crimenes_cordoba_ampliado[[#This Row],[Fecha]]-crimenes_cordoba_ampliado[[#This Row],[Fecha Nac. Víctima]])/365)</f>
        <v>77</v>
      </c>
      <c r="R517" s="7" t="str">
        <f>_xlfn.XLOOKUP(crimenes_cordoba_ampliado[[#This Row],[EDAD VICTIMA]],'Rango etareo'!$A$2:$A$25,'Rango etareo'!$B$2:$B$25,,-1)</f>
        <v>&gt;65</v>
      </c>
      <c r="S517" s="3" t="s">
        <v>22</v>
      </c>
      <c r="T517" s="3" t="str">
        <f>IF(crimenes_cordoba_ampliado[[#This Row],[Género Víctima]]="Masculino","🚹","🚺")</f>
        <v>🚹</v>
      </c>
      <c r="U517">
        <v>3</v>
      </c>
      <c r="V517" s="3" t="s">
        <v>25</v>
      </c>
      <c r="W517" s="3" t="s">
        <v>24</v>
      </c>
      <c r="X517" s="3" t="s">
        <v>24</v>
      </c>
      <c r="Y517" s="3" t="s">
        <v>72</v>
      </c>
      <c r="Z517" s="3" t="s">
        <v>25</v>
      </c>
      <c r="AA517" s="3" t="s">
        <v>25</v>
      </c>
      <c r="AB517" s="3" t="str">
        <f>IF(crimenes_cordoba_ampliado[[#This Row],[Hubo Arresto]]="Sí", "Resuelto", "Pendiente")</f>
        <v>Pendiente</v>
      </c>
      <c r="AC517" s="3" t="s">
        <v>24</v>
      </c>
      <c r="AD517" s="3"/>
    </row>
    <row r="518" spans="1:30" x14ac:dyDescent="0.25">
      <c r="A518">
        <v>219</v>
      </c>
      <c r="B518" s="1">
        <v>43969</v>
      </c>
      <c r="C518" s="33">
        <f t="shared" si="16"/>
        <v>43969</v>
      </c>
      <c r="D518" s="34">
        <f t="shared" si="17"/>
        <v>43969</v>
      </c>
      <c r="E518" s="35" t="s">
        <v>1452</v>
      </c>
      <c r="F518" s="2">
        <v>0.4152777777777778</v>
      </c>
      <c r="G518" s="3" t="s">
        <v>54</v>
      </c>
      <c r="H518" s="3" t="s">
        <v>62</v>
      </c>
      <c r="I518" s="25" t="str">
        <f>VLOOKUP(H518,Tabla5[#All],4,FALSE)</f>
        <v>-31,3909520937826, -64,1836424491715</v>
      </c>
      <c r="J518" s="1">
        <v>33077</v>
      </c>
      <c r="K518" s="7">
        <f>INT((crimenes_cordoba_ampliado[[#This Row],[Fecha]]-crimenes_cordoba_ampliado[[#This Row],[Fecha Nac. Delincuente]])/365)</f>
        <v>29</v>
      </c>
      <c r="L518" s="7" t="str">
        <f>_xlfn.XLOOKUP(crimenes_cordoba_ampliado[[#This Row],[EDAD DELINCUENTE]],'Rango etareo'!$A$10:$A$25,'Rango etareo'!$B$10:$B$25,,-1)</f>
        <v>26 - 35</v>
      </c>
      <c r="M518" s="3" t="s">
        <v>21</v>
      </c>
      <c r="N518" s="3" t="str">
        <f>IF(crimenes_cordoba_ampliado[[#This Row],[Género Delincuente]]="Femenino","🚺","🚹")</f>
        <v>🚺</v>
      </c>
      <c r="O518">
        <v>5</v>
      </c>
      <c r="P518" s="1">
        <v>16099</v>
      </c>
      <c r="Q518" s="7">
        <f>INT((crimenes_cordoba_ampliado[[#This Row],[Fecha]]-crimenes_cordoba_ampliado[[#This Row],[Fecha Nac. Víctima]])/365)</f>
        <v>76</v>
      </c>
      <c r="R518" s="7" t="str">
        <f>_xlfn.XLOOKUP(crimenes_cordoba_ampliado[[#This Row],[EDAD VICTIMA]],'Rango etareo'!$A$2:$A$25,'Rango etareo'!$B$2:$B$25,,-1)</f>
        <v>&gt;65</v>
      </c>
      <c r="S518" s="3" t="s">
        <v>22</v>
      </c>
      <c r="T518" s="3" t="str">
        <f>IF(crimenes_cordoba_ampliado[[#This Row],[Género Víctima]]="Masculino","🚹","🚺")</f>
        <v>🚹</v>
      </c>
      <c r="U518">
        <v>1</v>
      </c>
      <c r="V518" s="3" t="s">
        <v>25</v>
      </c>
      <c r="W518" s="3" t="s">
        <v>24</v>
      </c>
      <c r="X518" s="3" t="s">
        <v>24</v>
      </c>
      <c r="Y518" s="3" t="s">
        <v>89</v>
      </c>
      <c r="Z518" s="3" t="s">
        <v>23</v>
      </c>
      <c r="AA518" s="3" t="s">
        <v>23</v>
      </c>
      <c r="AB518" s="3" t="str">
        <f>IF(crimenes_cordoba_ampliado[[#This Row],[Hubo Arresto]]="Sí", "Resuelto", "Pendiente")</f>
        <v>Pendiente</v>
      </c>
      <c r="AC518" s="3" t="s">
        <v>24</v>
      </c>
      <c r="AD518" s="3"/>
    </row>
    <row r="519" spans="1:30" x14ac:dyDescent="0.25">
      <c r="A519">
        <v>476</v>
      </c>
      <c r="B519" s="1">
        <v>43971</v>
      </c>
      <c r="C519" s="33">
        <f t="shared" si="16"/>
        <v>43971</v>
      </c>
      <c r="D519" s="34">
        <f t="shared" si="17"/>
        <v>43971</v>
      </c>
      <c r="E519" s="35" t="s">
        <v>1450</v>
      </c>
      <c r="F519" s="2">
        <v>0.87430555555555556</v>
      </c>
      <c r="G519" s="3" t="s">
        <v>31</v>
      </c>
      <c r="H519" s="3" t="s">
        <v>58</v>
      </c>
      <c r="I519" s="25" t="str">
        <f>VLOOKUP(H519,Tabla5[#All],4,FALSE)</f>
        <v>-31,423018915313, -64,1493562190664</v>
      </c>
      <c r="J519" s="1">
        <v>33867</v>
      </c>
      <c r="K519" s="7">
        <f>INT((crimenes_cordoba_ampliado[[#This Row],[Fecha]]-crimenes_cordoba_ampliado[[#This Row],[Fecha Nac. Delincuente]])/365)</f>
        <v>27</v>
      </c>
      <c r="L519" s="7" t="str">
        <f>_xlfn.XLOOKUP(crimenes_cordoba_ampliado[[#This Row],[EDAD DELINCUENTE]],'Rango etareo'!$A$10:$A$25,'Rango etareo'!$B$10:$B$25,,-1)</f>
        <v>26 - 35</v>
      </c>
      <c r="M519" s="3" t="s">
        <v>21</v>
      </c>
      <c r="N519" s="3" t="str">
        <f>IF(crimenes_cordoba_ampliado[[#This Row],[Género Delincuente]]="Femenino","🚺","🚹")</f>
        <v>🚺</v>
      </c>
      <c r="O519">
        <v>4</v>
      </c>
      <c r="P519" s="1">
        <v>40549</v>
      </c>
      <c r="Q519" s="7">
        <f>INT((crimenes_cordoba_ampliado[[#This Row],[Fecha]]-crimenes_cordoba_ampliado[[#This Row],[Fecha Nac. Víctima]])/365)</f>
        <v>9</v>
      </c>
      <c r="R519" s="7" t="str">
        <f>_xlfn.XLOOKUP(crimenes_cordoba_ampliado[[#This Row],[EDAD VICTIMA]],'Rango etareo'!$A$2:$A$25,'Rango etareo'!$B$2:$B$25,,-1)</f>
        <v>&lt;=17</v>
      </c>
      <c r="S519" s="3" t="s">
        <v>22</v>
      </c>
      <c r="T519" s="3" t="str">
        <f>IF(crimenes_cordoba_ampliado[[#This Row],[Género Víctima]]="Masculino","🚹","🚺")</f>
        <v>🚹</v>
      </c>
      <c r="U519">
        <v>3</v>
      </c>
      <c r="V519" s="3" t="s">
        <v>25</v>
      </c>
      <c r="W519" s="3" t="s">
        <v>71</v>
      </c>
      <c r="X519" s="3" t="s">
        <v>24</v>
      </c>
      <c r="Y519" s="3" t="s">
        <v>77</v>
      </c>
      <c r="Z519" s="3" t="s">
        <v>25</v>
      </c>
      <c r="AA519" s="3" t="s">
        <v>23</v>
      </c>
      <c r="AB519" s="3" t="str">
        <f>IF(crimenes_cordoba_ampliado[[#This Row],[Hubo Arresto]]="Sí", "Resuelto", "Pendiente")</f>
        <v>Pendiente</v>
      </c>
      <c r="AC519" s="3" t="s">
        <v>24</v>
      </c>
      <c r="AD519" s="3"/>
    </row>
    <row r="520" spans="1:30" x14ac:dyDescent="0.25">
      <c r="A520">
        <v>515</v>
      </c>
      <c r="B520" s="1">
        <v>43678</v>
      </c>
      <c r="C520" s="33">
        <f t="shared" si="16"/>
        <v>43678</v>
      </c>
      <c r="D520" s="34">
        <f t="shared" si="17"/>
        <v>43678</v>
      </c>
      <c r="E520" s="35" t="s">
        <v>1454</v>
      </c>
      <c r="F520" s="2">
        <v>0.7993055555555556</v>
      </c>
      <c r="G520" s="3" t="s">
        <v>19</v>
      </c>
      <c r="H520" s="3" t="s">
        <v>62</v>
      </c>
      <c r="I520" s="25" t="str">
        <f>VLOOKUP(H520,Tabla5[#All],4,FALSE)</f>
        <v>-31,3909520937826, -64,1836424491715</v>
      </c>
      <c r="J520" s="1">
        <v>30911</v>
      </c>
      <c r="K520" s="7">
        <f>INT((crimenes_cordoba_ampliado[[#This Row],[Fecha]]-crimenes_cordoba_ampliado[[#This Row],[Fecha Nac. Delincuente]])/365)</f>
        <v>34</v>
      </c>
      <c r="L520" s="7" t="str">
        <f>_xlfn.XLOOKUP(crimenes_cordoba_ampliado[[#This Row],[EDAD DELINCUENTE]],'Rango etareo'!$A$10:$A$25,'Rango etareo'!$B$10:$B$25,,-1)</f>
        <v>26 - 35</v>
      </c>
      <c r="M520" s="3" t="s">
        <v>21</v>
      </c>
      <c r="N520" s="3" t="str">
        <f>IF(crimenes_cordoba_ampliado[[#This Row],[Género Delincuente]]="Femenino","🚺","🚹")</f>
        <v>🚺</v>
      </c>
      <c r="O520">
        <v>3</v>
      </c>
      <c r="P520" s="1">
        <v>41061</v>
      </c>
      <c r="Q520" s="7">
        <f>INT((crimenes_cordoba_ampliado[[#This Row],[Fecha]]-crimenes_cordoba_ampliado[[#This Row],[Fecha Nac. Víctima]])/365)</f>
        <v>7</v>
      </c>
      <c r="R520" s="7" t="str">
        <f>_xlfn.XLOOKUP(crimenes_cordoba_ampliado[[#This Row],[EDAD VICTIMA]],'Rango etareo'!$A$2:$A$25,'Rango etareo'!$B$2:$B$25,,-1)</f>
        <v>&lt;=17</v>
      </c>
      <c r="S520" s="3" t="s">
        <v>21</v>
      </c>
      <c r="T520" s="3" t="str">
        <f>IF(crimenes_cordoba_ampliado[[#This Row],[Género Víctima]]="Masculino","🚹","🚺")</f>
        <v>🚺</v>
      </c>
      <c r="U520">
        <v>3</v>
      </c>
      <c r="V520" s="3" t="s">
        <v>23</v>
      </c>
      <c r="W520" s="3" t="s">
        <v>24</v>
      </c>
      <c r="X520" s="3" t="s">
        <v>24</v>
      </c>
      <c r="Y520" s="3" t="s">
        <v>133</v>
      </c>
      <c r="Z520" s="3" t="s">
        <v>23</v>
      </c>
      <c r="AA520" s="3" t="s">
        <v>25</v>
      </c>
      <c r="AB520" s="3" t="str">
        <f>IF(crimenes_cordoba_ampliado[[#This Row],[Hubo Arresto]]="Sí", "Resuelto", "Pendiente")</f>
        <v>Resuelto</v>
      </c>
      <c r="AC520" s="3" t="s">
        <v>143</v>
      </c>
      <c r="AD520" s="3"/>
    </row>
    <row r="521" spans="1:30" x14ac:dyDescent="0.25">
      <c r="A521">
        <v>516</v>
      </c>
      <c r="B521" s="1">
        <v>44568</v>
      </c>
      <c r="C521" s="33">
        <f t="shared" si="16"/>
        <v>44568</v>
      </c>
      <c r="D521" s="34">
        <f t="shared" si="17"/>
        <v>44568</v>
      </c>
      <c r="E521" s="35" t="s">
        <v>1455</v>
      </c>
      <c r="F521" s="2">
        <v>0.81805555555555554</v>
      </c>
      <c r="G521" s="3" t="s">
        <v>54</v>
      </c>
      <c r="H521" s="3" t="s">
        <v>32</v>
      </c>
      <c r="I521" s="25" t="str">
        <f>VLOOKUP(H521,Tabla5[#All],4,FALSE)</f>
        <v>-31,4148488101991, -64,1793406489438</v>
      </c>
      <c r="J521" s="1">
        <v>20775</v>
      </c>
      <c r="K521" s="7">
        <f>INT((crimenes_cordoba_ampliado[[#This Row],[Fecha]]-crimenes_cordoba_ampliado[[#This Row],[Fecha Nac. Delincuente]])/365)</f>
        <v>65</v>
      </c>
      <c r="L521" s="7" t="str">
        <f>_xlfn.XLOOKUP(crimenes_cordoba_ampliado[[#This Row],[EDAD DELINCUENTE]],'Rango etareo'!$A$10:$A$25,'Rango etareo'!$B$10:$B$25,,-1)</f>
        <v>&gt;65</v>
      </c>
      <c r="M521" s="3" t="s">
        <v>22</v>
      </c>
      <c r="N521" s="3" t="str">
        <f>IF(crimenes_cordoba_ampliado[[#This Row],[Género Delincuente]]="Femenino","🚺","🚹")</f>
        <v>🚹</v>
      </c>
      <c r="O521">
        <v>4</v>
      </c>
      <c r="P521" s="1">
        <v>37057</v>
      </c>
      <c r="Q521" s="7">
        <f>INT((crimenes_cordoba_ampliado[[#This Row],[Fecha]]-crimenes_cordoba_ampliado[[#This Row],[Fecha Nac. Víctima]])/365)</f>
        <v>20</v>
      </c>
      <c r="R521" s="7" t="str">
        <f>_xlfn.XLOOKUP(crimenes_cordoba_ampliado[[#This Row],[EDAD VICTIMA]],'Rango etareo'!$A$2:$A$25,'Rango etareo'!$B$2:$B$25,,-1)</f>
        <v>18 - 25</v>
      </c>
      <c r="S521" s="3" t="s">
        <v>22</v>
      </c>
      <c r="T521" s="3" t="str">
        <f>IF(crimenes_cordoba_ampliado[[#This Row],[Género Víctima]]="Masculino","🚹","🚺")</f>
        <v>🚹</v>
      </c>
      <c r="U521">
        <v>2</v>
      </c>
      <c r="V521" s="3" t="s">
        <v>23</v>
      </c>
      <c r="W521" s="3" t="s">
        <v>83</v>
      </c>
      <c r="X521" s="3" t="s">
        <v>67</v>
      </c>
      <c r="Y521" s="3" t="s">
        <v>24</v>
      </c>
      <c r="Z521" s="3" t="s">
        <v>23</v>
      </c>
      <c r="AA521" s="3" t="s">
        <v>25</v>
      </c>
      <c r="AB521" s="3" t="str">
        <f>IF(crimenes_cordoba_ampliado[[#This Row],[Hubo Arresto]]="Sí", "Resuelto", "Pendiente")</f>
        <v>Resuelto</v>
      </c>
      <c r="AC521" s="3" t="s">
        <v>116</v>
      </c>
      <c r="AD521" s="3"/>
    </row>
    <row r="522" spans="1:30" x14ac:dyDescent="0.25">
      <c r="A522">
        <v>741</v>
      </c>
      <c r="B522" s="1">
        <v>43981</v>
      </c>
      <c r="C522" s="33">
        <f t="shared" si="16"/>
        <v>43981</v>
      </c>
      <c r="D522" s="34">
        <f t="shared" si="17"/>
        <v>43981</v>
      </c>
      <c r="E522" s="35" t="s">
        <v>1451</v>
      </c>
      <c r="F522" s="2">
        <v>0.79305555555555551</v>
      </c>
      <c r="G522" s="3" t="s">
        <v>31</v>
      </c>
      <c r="H522" s="3" t="s">
        <v>70</v>
      </c>
      <c r="I522" s="25" t="str">
        <f>VLOOKUP(H522,Tabla5[#All],4,FALSE)</f>
        <v>-31,3759272890294, -64,2284587792478</v>
      </c>
      <c r="J522" s="1">
        <v>28296</v>
      </c>
      <c r="K522" s="7">
        <f>INT((crimenes_cordoba_ampliado[[#This Row],[Fecha]]-crimenes_cordoba_ampliado[[#This Row],[Fecha Nac. Delincuente]])/365)</f>
        <v>42</v>
      </c>
      <c r="L522" s="7" t="str">
        <f>_xlfn.XLOOKUP(crimenes_cordoba_ampliado[[#This Row],[EDAD DELINCUENTE]],'Rango etareo'!$A$10:$A$25,'Rango etareo'!$B$10:$B$25,,-1)</f>
        <v>36 - 45</v>
      </c>
      <c r="M522" s="3" t="s">
        <v>22</v>
      </c>
      <c r="N522" s="3" t="str">
        <f>IF(crimenes_cordoba_ampliado[[#This Row],[Género Delincuente]]="Femenino","🚺","🚹")</f>
        <v>🚹</v>
      </c>
      <c r="O522">
        <v>3</v>
      </c>
      <c r="P522" s="1">
        <v>16725</v>
      </c>
      <c r="Q522" s="7">
        <f>INT((crimenes_cordoba_ampliado[[#This Row],[Fecha]]-crimenes_cordoba_ampliado[[#This Row],[Fecha Nac. Víctima]])/365)</f>
        <v>74</v>
      </c>
      <c r="R522" s="7" t="str">
        <f>_xlfn.XLOOKUP(crimenes_cordoba_ampliado[[#This Row],[EDAD VICTIMA]],'Rango etareo'!$A$2:$A$25,'Rango etareo'!$B$2:$B$25,,-1)</f>
        <v>&gt;65</v>
      </c>
      <c r="S522" s="3" t="s">
        <v>21</v>
      </c>
      <c r="T522" s="3" t="str">
        <f>IF(crimenes_cordoba_ampliado[[#This Row],[Género Víctima]]="Masculino","🚹","🚺")</f>
        <v>🚺</v>
      </c>
      <c r="U522">
        <v>3</v>
      </c>
      <c r="V522" s="3" t="s">
        <v>25</v>
      </c>
      <c r="W522" s="3" t="s">
        <v>71</v>
      </c>
      <c r="X522" s="3" t="s">
        <v>24</v>
      </c>
      <c r="Y522" s="3" t="s">
        <v>64</v>
      </c>
      <c r="Z522" s="3" t="s">
        <v>25</v>
      </c>
      <c r="AA522" s="3" t="s">
        <v>23</v>
      </c>
      <c r="AB522" s="3" t="str">
        <f>IF(crimenes_cordoba_ampliado[[#This Row],[Hubo Arresto]]="Sí", "Resuelto", "Pendiente")</f>
        <v>Pendiente</v>
      </c>
      <c r="AC522" s="3" t="s">
        <v>24</v>
      </c>
      <c r="AD522" s="3"/>
    </row>
    <row r="523" spans="1:30" x14ac:dyDescent="0.25">
      <c r="A523">
        <v>518</v>
      </c>
      <c r="B523" s="1">
        <v>45240</v>
      </c>
      <c r="C523" s="33">
        <f t="shared" si="16"/>
        <v>45240</v>
      </c>
      <c r="D523" s="34">
        <f t="shared" si="17"/>
        <v>45240</v>
      </c>
      <c r="E523" s="35" t="s">
        <v>1455</v>
      </c>
      <c r="F523" s="2">
        <v>0.80347222222222225</v>
      </c>
      <c r="G523" s="3" t="s">
        <v>48</v>
      </c>
      <c r="H523" s="3" t="s">
        <v>62</v>
      </c>
      <c r="I523" s="25" t="str">
        <f>VLOOKUP(H523,Tabla5[#All],4,FALSE)</f>
        <v>-31,3909520937826, -64,1836424491715</v>
      </c>
      <c r="J523" s="1">
        <v>28935</v>
      </c>
      <c r="K523" s="7">
        <f>INT((crimenes_cordoba_ampliado[[#This Row],[Fecha]]-crimenes_cordoba_ampliado[[#This Row],[Fecha Nac. Delincuente]])/365)</f>
        <v>44</v>
      </c>
      <c r="L523" s="7" t="str">
        <f>_xlfn.XLOOKUP(crimenes_cordoba_ampliado[[#This Row],[EDAD DELINCUENTE]],'Rango etareo'!$A$10:$A$25,'Rango etareo'!$B$10:$B$25,,-1)</f>
        <v>36 - 45</v>
      </c>
      <c r="M523" s="3" t="s">
        <v>22</v>
      </c>
      <c r="N523" s="3" t="str">
        <f>IF(crimenes_cordoba_ampliado[[#This Row],[Género Delincuente]]="Femenino","🚺","🚹")</f>
        <v>🚹</v>
      </c>
      <c r="O523">
        <v>5</v>
      </c>
      <c r="P523" s="1">
        <v>29354</v>
      </c>
      <c r="Q523" s="7">
        <f>INT((crimenes_cordoba_ampliado[[#This Row],[Fecha]]-crimenes_cordoba_ampliado[[#This Row],[Fecha Nac. Víctima]])/365)</f>
        <v>43</v>
      </c>
      <c r="R523" s="7" t="str">
        <f>_xlfn.XLOOKUP(crimenes_cordoba_ampliado[[#This Row],[EDAD VICTIMA]],'Rango etareo'!$A$2:$A$25,'Rango etareo'!$B$2:$B$25,,-1)</f>
        <v>36 - 45</v>
      </c>
      <c r="S523" s="3" t="s">
        <v>21</v>
      </c>
      <c r="T523" s="3" t="str">
        <f>IF(crimenes_cordoba_ampliado[[#This Row],[Género Víctima]]="Masculino","🚹","🚺")</f>
        <v>🚺</v>
      </c>
      <c r="U523">
        <v>1</v>
      </c>
      <c r="V523" s="3" t="s">
        <v>23</v>
      </c>
      <c r="W523" s="3" t="s">
        <v>36</v>
      </c>
      <c r="X523" s="3" t="s">
        <v>67</v>
      </c>
      <c r="Y523" s="3" t="s">
        <v>24</v>
      </c>
      <c r="Z523" s="3" t="s">
        <v>25</v>
      </c>
      <c r="AA523" s="3" t="s">
        <v>25</v>
      </c>
      <c r="AB523" s="3" t="str">
        <f>IF(crimenes_cordoba_ampliado[[#This Row],[Hubo Arresto]]="Sí", "Resuelto", "Pendiente")</f>
        <v>Resuelto</v>
      </c>
      <c r="AC523" s="3" t="s">
        <v>258</v>
      </c>
      <c r="AD523" s="3"/>
    </row>
    <row r="524" spans="1:30" x14ac:dyDescent="0.25">
      <c r="A524">
        <v>519</v>
      </c>
      <c r="B524" s="1">
        <v>43372</v>
      </c>
      <c r="C524" s="33">
        <f t="shared" si="16"/>
        <v>43372</v>
      </c>
      <c r="D524" s="34">
        <f t="shared" si="17"/>
        <v>43372</v>
      </c>
      <c r="E524" s="35" t="s">
        <v>1451</v>
      </c>
      <c r="F524" s="2">
        <v>0.80486111111111114</v>
      </c>
      <c r="G524" s="3" t="s">
        <v>19</v>
      </c>
      <c r="H524" s="3" t="s">
        <v>60</v>
      </c>
      <c r="I524" s="25" t="str">
        <f>VLOOKUP(H524,Tabla5[#All],4,FALSE)</f>
        <v>-31,4076397196409, -64,2020170430678</v>
      </c>
      <c r="J524" s="1">
        <v>32964</v>
      </c>
      <c r="K524" s="7">
        <f>INT((crimenes_cordoba_ampliado[[#This Row],[Fecha]]-crimenes_cordoba_ampliado[[#This Row],[Fecha Nac. Delincuente]])/365)</f>
        <v>28</v>
      </c>
      <c r="L524" s="7" t="str">
        <f>_xlfn.XLOOKUP(crimenes_cordoba_ampliado[[#This Row],[EDAD DELINCUENTE]],'Rango etareo'!$A$10:$A$25,'Rango etareo'!$B$10:$B$25,,-1)</f>
        <v>26 - 35</v>
      </c>
      <c r="M524" s="3" t="s">
        <v>21</v>
      </c>
      <c r="N524" s="3" t="str">
        <f>IF(crimenes_cordoba_ampliado[[#This Row],[Género Delincuente]]="Femenino","🚺","🚹")</f>
        <v>🚺</v>
      </c>
      <c r="O524">
        <v>3</v>
      </c>
      <c r="P524" s="1">
        <v>19180</v>
      </c>
      <c r="Q524" s="7">
        <f>INT((crimenes_cordoba_ampliado[[#This Row],[Fecha]]-crimenes_cordoba_ampliado[[#This Row],[Fecha Nac. Víctima]])/365)</f>
        <v>66</v>
      </c>
      <c r="R524" s="7" t="str">
        <f>_xlfn.XLOOKUP(crimenes_cordoba_ampliado[[#This Row],[EDAD VICTIMA]],'Rango etareo'!$A$2:$A$25,'Rango etareo'!$B$2:$B$25,,-1)</f>
        <v>&gt;65</v>
      </c>
      <c r="S524" s="3" t="s">
        <v>21</v>
      </c>
      <c r="T524" s="3" t="str">
        <f>IF(crimenes_cordoba_ampliado[[#This Row],[Género Víctima]]="Masculino","🚹","🚺")</f>
        <v>🚺</v>
      </c>
      <c r="U524">
        <v>1</v>
      </c>
      <c r="V524" s="3" t="s">
        <v>23</v>
      </c>
      <c r="W524" s="3" t="s">
        <v>24</v>
      </c>
      <c r="X524" s="3" t="s">
        <v>24</v>
      </c>
      <c r="Y524" s="3" t="s">
        <v>46</v>
      </c>
      <c r="Z524" s="3" t="s">
        <v>25</v>
      </c>
      <c r="AA524" s="3" t="s">
        <v>25</v>
      </c>
      <c r="AB524" s="3" t="str">
        <f>IF(crimenes_cordoba_ampliado[[#This Row],[Hubo Arresto]]="Sí", "Resuelto", "Pendiente")</f>
        <v>Resuelto</v>
      </c>
      <c r="AC524" s="3" t="s">
        <v>219</v>
      </c>
      <c r="AD524" s="3"/>
    </row>
    <row r="525" spans="1:30" x14ac:dyDescent="0.25">
      <c r="A525">
        <v>456</v>
      </c>
      <c r="B525" s="1">
        <v>43989</v>
      </c>
      <c r="C525" s="33">
        <f t="shared" si="16"/>
        <v>43989</v>
      </c>
      <c r="D525" s="34">
        <f t="shared" si="17"/>
        <v>43989</v>
      </c>
      <c r="E525" s="35" t="s">
        <v>1449</v>
      </c>
      <c r="F525" s="2">
        <v>0.81527777777777777</v>
      </c>
      <c r="G525" s="3" t="s">
        <v>19</v>
      </c>
      <c r="H525" s="3" t="s">
        <v>60</v>
      </c>
      <c r="I525" s="25" t="str">
        <f>VLOOKUP(H525,Tabla5[#All],4,FALSE)</f>
        <v>-31,4076397196409, -64,2020170430678</v>
      </c>
      <c r="J525" s="1">
        <v>25611</v>
      </c>
      <c r="K525" s="7">
        <f>INT((crimenes_cordoba_ampliado[[#This Row],[Fecha]]-crimenes_cordoba_ampliado[[#This Row],[Fecha Nac. Delincuente]])/365)</f>
        <v>50</v>
      </c>
      <c r="L525" s="7" t="str">
        <f>_xlfn.XLOOKUP(crimenes_cordoba_ampliado[[#This Row],[EDAD DELINCUENTE]],'Rango etareo'!$A$10:$A$25,'Rango etareo'!$B$10:$B$25,,-1)</f>
        <v>46 - 55</v>
      </c>
      <c r="M525" s="3" t="s">
        <v>21</v>
      </c>
      <c r="N525" s="3" t="str">
        <f>IF(crimenes_cordoba_ampliado[[#This Row],[Género Delincuente]]="Femenino","🚺","🚹")</f>
        <v>🚺</v>
      </c>
      <c r="O525">
        <v>2</v>
      </c>
      <c r="P525" s="1">
        <v>23328</v>
      </c>
      <c r="Q525" s="7">
        <f>INT((crimenes_cordoba_ampliado[[#This Row],[Fecha]]-crimenes_cordoba_ampliado[[#This Row],[Fecha Nac. Víctima]])/365)</f>
        <v>56</v>
      </c>
      <c r="R525" s="7" t="str">
        <f>_xlfn.XLOOKUP(crimenes_cordoba_ampliado[[#This Row],[EDAD VICTIMA]],'Rango etareo'!$A$2:$A$25,'Rango etareo'!$B$2:$B$25,,-1)</f>
        <v>56 - 65</v>
      </c>
      <c r="S525" s="3" t="s">
        <v>21</v>
      </c>
      <c r="T525" s="3" t="str">
        <f>IF(crimenes_cordoba_ampliado[[#This Row],[Género Víctima]]="Masculino","🚹","🚺")</f>
        <v>🚺</v>
      </c>
      <c r="U525">
        <v>3</v>
      </c>
      <c r="V525" s="3" t="s">
        <v>25</v>
      </c>
      <c r="W525" s="3" t="s">
        <v>71</v>
      </c>
      <c r="X525" s="3" t="s">
        <v>24</v>
      </c>
      <c r="Y525" s="3" t="s">
        <v>99</v>
      </c>
      <c r="Z525" s="3" t="s">
        <v>23</v>
      </c>
      <c r="AA525" s="3" t="s">
        <v>25</v>
      </c>
      <c r="AB525" s="3" t="str">
        <f>IF(crimenes_cordoba_ampliado[[#This Row],[Hubo Arresto]]="Sí", "Resuelto", "Pendiente")</f>
        <v>Pendiente</v>
      </c>
      <c r="AC525" s="3" t="s">
        <v>24</v>
      </c>
      <c r="AD525" s="3"/>
    </row>
    <row r="526" spans="1:30" x14ac:dyDescent="0.25">
      <c r="A526">
        <v>520</v>
      </c>
      <c r="B526" s="1">
        <v>44894</v>
      </c>
      <c r="C526" s="33">
        <f t="shared" si="16"/>
        <v>44894</v>
      </c>
      <c r="D526" s="34">
        <f t="shared" si="17"/>
        <v>44894</v>
      </c>
      <c r="E526" s="35" t="s">
        <v>1453</v>
      </c>
      <c r="F526" s="2">
        <v>0.85416666666666663</v>
      </c>
      <c r="G526" s="3" t="s">
        <v>19</v>
      </c>
      <c r="H526" s="3" t="s">
        <v>55</v>
      </c>
      <c r="I526" s="25" t="str">
        <f>VLOOKUP(H526,Tabla5[#All],4,FALSE)</f>
        <v>-31,4015892433235, -64,160442876477</v>
      </c>
      <c r="J526" s="1">
        <v>20031</v>
      </c>
      <c r="K526" s="7">
        <f>INT((crimenes_cordoba_ampliado[[#This Row],[Fecha]]-crimenes_cordoba_ampliado[[#This Row],[Fecha Nac. Delincuente]])/365)</f>
        <v>68</v>
      </c>
      <c r="L526" s="7" t="str">
        <f>_xlfn.XLOOKUP(crimenes_cordoba_ampliado[[#This Row],[EDAD DELINCUENTE]],'Rango etareo'!$A$10:$A$25,'Rango etareo'!$B$10:$B$25,,-1)</f>
        <v>&gt;65</v>
      </c>
      <c r="M526" s="3" t="s">
        <v>22</v>
      </c>
      <c r="N526" s="3" t="str">
        <f>IF(crimenes_cordoba_ampliado[[#This Row],[Género Delincuente]]="Femenino","🚺","🚹")</f>
        <v>🚹</v>
      </c>
      <c r="O526">
        <v>5</v>
      </c>
      <c r="P526" s="1">
        <v>31949</v>
      </c>
      <c r="Q526" s="7">
        <f>INT((crimenes_cordoba_ampliado[[#This Row],[Fecha]]-crimenes_cordoba_ampliado[[#This Row],[Fecha Nac. Víctima]])/365)</f>
        <v>35</v>
      </c>
      <c r="R526" s="7" t="str">
        <f>_xlfn.XLOOKUP(crimenes_cordoba_ampliado[[#This Row],[EDAD VICTIMA]],'Rango etareo'!$A$2:$A$25,'Rango etareo'!$B$2:$B$25,,-1)</f>
        <v>26 - 35</v>
      </c>
      <c r="S526" s="3" t="s">
        <v>21</v>
      </c>
      <c r="T526" s="3" t="str">
        <f>IF(crimenes_cordoba_ampliado[[#This Row],[Género Víctima]]="Masculino","🚹","🚺")</f>
        <v>🚺</v>
      </c>
      <c r="U526">
        <v>2</v>
      </c>
      <c r="V526" s="3" t="s">
        <v>23</v>
      </c>
      <c r="W526" s="3" t="s">
        <v>36</v>
      </c>
      <c r="X526" s="3" t="s">
        <v>67</v>
      </c>
      <c r="Y526" s="3" t="s">
        <v>24</v>
      </c>
      <c r="Z526" s="3" t="s">
        <v>25</v>
      </c>
      <c r="AA526" s="3" t="s">
        <v>23</v>
      </c>
      <c r="AB526" s="3" t="str">
        <f>IF(crimenes_cordoba_ampliado[[#This Row],[Hubo Arresto]]="Sí", "Resuelto", "Pendiente")</f>
        <v>Resuelto</v>
      </c>
      <c r="AC526" s="3" t="s">
        <v>259</v>
      </c>
      <c r="AD526" s="3"/>
    </row>
    <row r="527" spans="1:30" x14ac:dyDescent="0.25">
      <c r="A527">
        <v>986</v>
      </c>
      <c r="B527" s="1">
        <v>43995</v>
      </c>
      <c r="C527" s="33">
        <f t="shared" si="16"/>
        <v>43995</v>
      </c>
      <c r="D527" s="34">
        <f t="shared" si="17"/>
        <v>43995</v>
      </c>
      <c r="E527" s="35" t="s">
        <v>1451</v>
      </c>
      <c r="F527" s="2">
        <v>0.68194444444444446</v>
      </c>
      <c r="G527" s="3" t="s">
        <v>35</v>
      </c>
      <c r="H527" s="3" t="s">
        <v>65</v>
      </c>
      <c r="I527" s="25" t="str">
        <f>VLOOKUP(H527,Tabla5[#All],4,FALSE)</f>
        <v>-31,4285567311661, -64,1853198281007</v>
      </c>
      <c r="J527" s="1">
        <v>29150</v>
      </c>
      <c r="K527" s="7">
        <f>INT((crimenes_cordoba_ampliado[[#This Row],[Fecha]]-crimenes_cordoba_ampliado[[#This Row],[Fecha Nac. Delincuente]])/365)</f>
        <v>40</v>
      </c>
      <c r="L527" s="7" t="str">
        <f>_xlfn.XLOOKUP(crimenes_cordoba_ampliado[[#This Row],[EDAD DELINCUENTE]],'Rango etareo'!$A$10:$A$25,'Rango etareo'!$B$10:$B$25,,-1)</f>
        <v>36 - 45</v>
      </c>
      <c r="M527" s="3" t="s">
        <v>21</v>
      </c>
      <c r="N527" s="3" t="str">
        <f>IF(crimenes_cordoba_ampliado[[#This Row],[Género Delincuente]]="Femenino","🚺","🚹")</f>
        <v>🚺</v>
      </c>
      <c r="O527">
        <v>4</v>
      </c>
      <c r="P527" s="1">
        <v>40223</v>
      </c>
      <c r="Q527" s="7">
        <f>INT((crimenes_cordoba_ampliado[[#This Row],[Fecha]]-crimenes_cordoba_ampliado[[#This Row],[Fecha Nac. Víctima]])/365)</f>
        <v>10</v>
      </c>
      <c r="R527" s="7" t="str">
        <f>_xlfn.XLOOKUP(crimenes_cordoba_ampliado[[#This Row],[EDAD VICTIMA]],'Rango etareo'!$A$2:$A$25,'Rango etareo'!$B$2:$B$25,,-1)</f>
        <v>&lt;=17</v>
      </c>
      <c r="S527" s="3" t="s">
        <v>22</v>
      </c>
      <c r="T527" s="3" t="str">
        <f>IF(crimenes_cordoba_ampliado[[#This Row],[Género Víctima]]="Masculino","🚹","🚺")</f>
        <v>🚹</v>
      </c>
      <c r="U527">
        <v>1</v>
      </c>
      <c r="V527" s="3" t="s">
        <v>25</v>
      </c>
      <c r="W527" s="3" t="s">
        <v>24</v>
      </c>
      <c r="X527" s="3" t="s">
        <v>24</v>
      </c>
      <c r="Y527" s="3" t="s">
        <v>106</v>
      </c>
      <c r="Z527" s="3" t="s">
        <v>25</v>
      </c>
      <c r="AA527" s="3" t="s">
        <v>25</v>
      </c>
      <c r="AB527" s="3" t="str">
        <f>IF(crimenes_cordoba_ampliado[[#This Row],[Hubo Arresto]]="Sí", "Resuelto", "Pendiente")</f>
        <v>Pendiente</v>
      </c>
      <c r="AC527" s="3" t="s">
        <v>24</v>
      </c>
      <c r="AD527" s="3"/>
    </row>
    <row r="528" spans="1:30" x14ac:dyDescent="0.25">
      <c r="A528">
        <v>854</v>
      </c>
      <c r="B528" s="1">
        <v>43997</v>
      </c>
      <c r="C528" s="33">
        <f t="shared" si="16"/>
        <v>43997</v>
      </c>
      <c r="D528" s="34">
        <f t="shared" si="17"/>
        <v>43997</v>
      </c>
      <c r="E528" s="35" t="s">
        <v>1452</v>
      </c>
      <c r="F528" s="2">
        <v>0.91041666666666665</v>
      </c>
      <c r="G528" s="3" t="s">
        <v>48</v>
      </c>
      <c r="H528" s="3" t="s">
        <v>60</v>
      </c>
      <c r="I528" s="25" t="str">
        <f>VLOOKUP(H528,Tabla5[#All],4,FALSE)</f>
        <v>-31,4076397196409, -64,2020170430678</v>
      </c>
      <c r="J528" s="1">
        <v>21832</v>
      </c>
      <c r="K528" s="7">
        <f>INT((crimenes_cordoba_ampliado[[#This Row],[Fecha]]-crimenes_cordoba_ampliado[[#This Row],[Fecha Nac. Delincuente]])/365)</f>
        <v>60</v>
      </c>
      <c r="L528" s="7" t="str">
        <f>_xlfn.XLOOKUP(crimenes_cordoba_ampliado[[#This Row],[EDAD DELINCUENTE]],'Rango etareo'!$A$10:$A$25,'Rango etareo'!$B$10:$B$25,,-1)</f>
        <v>56 - 65</v>
      </c>
      <c r="M528" s="3" t="s">
        <v>21</v>
      </c>
      <c r="N528" s="3" t="str">
        <f>IF(crimenes_cordoba_ampliado[[#This Row],[Género Delincuente]]="Femenino","🚺","🚹")</f>
        <v>🚺</v>
      </c>
      <c r="O528">
        <v>5</v>
      </c>
      <c r="P528" s="1">
        <v>41675</v>
      </c>
      <c r="Q528" s="7">
        <f>INT((crimenes_cordoba_ampliado[[#This Row],[Fecha]]-crimenes_cordoba_ampliado[[#This Row],[Fecha Nac. Víctima]])/365)</f>
        <v>6</v>
      </c>
      <c r="R528" s="7" t="str">
        <f>_xlfn.XLOOKUP(crimenes_cordoba_ampliado[[#This Row],[EDAD VICTIMA]],'Rango etareo'!$A$2:$A$25,'Rango etareo'!$B$2:$B$25,,-1)</f>
        <v>&lt;=17</v>
      </c>
      <c r="S528" s="3" t="s">
        <v>22</v>
      </c>
      <c r="T528" s="3" t="str">
        <f>IF(crimenes_cordoba_ampliado[[#This Row],[Género Víctima]]="Masculino","🚹","🚺")</f>
        <v>🚹</v>
      </c>
      <c r="U528">
        <v>1</v>
      </c>
      <c r="V528" s="3" t="s">
        <v>25</v>
      </c>
      <c r="W528" s="3" t="s">
        <v>71</v>
      </c>
      <c r="X528" s="3" t="s">
        <v>24</v>
      </c>
      <c r="Y528" s="3" t="s">
        <v>99</v>
      </c>
      <c r="Z528" s="3" t="s">
        <v>25</v>
      </c>
      <c r="AA528" s="3" t="s">
        <v>23</v>
      </c>
      <c r="AB528" s="3" t="str">
        <f>IF(crimenes_cordoba_ampliado[[#This Row],[Hubo Arresto]]="Sí", "Resuelto", "Pendiente")</f>
        <v>Pendiente</v>
      </c>
      <c r="AC528" s="3" t="s">
        <v>24</v>
      </c>
      <c r="AD528" s="3"/>
    </row>
    <row r="529" spans="1:30" x14ac:dyDescent="0.25">
      <c r="A529">
        <v>510</v>
      </c>
      <c r="B529" s="1">
        <v>44002</v>
      </c>
      <c r="C529" s="33">
        <f t="shared" si="16"/>
        <v>44002</v>
      </c>
      <c r="D529" s="34">
        <f t="shared" si="17"/>
        <v>44002</v>
      </c>
      <c r="E529" s="35" t="s">
        <v>1451</v>
      </c>
      <c r="F529" s="2">
        <v>0.92638888888888893</v>
      </c>
      <c r="G529" s="3" t="s">
        <v>45</v>
      </c>
      <c r="H529" s="3" t="s">
        <v>32</v>
      </c>
      <c r="I529" s="25" t="str">
        <f>VLOOKUP(H529,Tabla5[#All],4,FALSE)</f>
        <v>-31,4148488101991, -64,1793406489438</v>
      </c>
      <c r="J529" s="1">
        <v>27200</v>
      </c>
      <c r="K529" s="7">
        <f>INT((crimenes_cordoba_ampliado[[#This Row],[Fecha]]-crimenes_cordoba_ampliado[[#This Row],[Fecha Nac. Delincuente]])/365)</f>
        <v>46</v>
      </c>
      <c r="L529" s="7" t="str">
        <f>_xlfn.XLOOKUP(crimenes_cordoba_ampliado[[#This Row],[EDAD DELINCUENTE]],'Rango etareo'!$A$10:$A$25,'Rango etareo'!$B$10:$B$25,,-1)</f>
        <v>46 - 55</v>
      </c>
      <c r="M529" s="3" t="s">
        <v>22</v>
      </c>
      <c r="N529" s="3" t="str">
        <f>IF(crimenes_cordoba_ampliado[[#This Row],[Género Delincuente]]="Femenino","🚺","🚹")</f>
        <v>🚹</v>
      </c>
      <c r="O529">
        <v>4</v>
      </c>
      <c r="P529" s="1">
        <v>35966</v>
      </c>
      <c r="Q529" s="7">
        <f>INT((crimenes_cordoba_ampliado[[#This Row],[Fecha]]-crimenes_cordoba_ampliado[[#This Row],[Fecha Nac. Víctima]])/365)</f>
        <v>22</v>
      </c>
      <c r="R529" s="7" t="str">
        <f>_xlfn.XLOOKUP(crimenes_cordoba_ampliado[[#This Row],[EDAD VICTIMA]],'Rango etareo'!$A$2:$A$25,'Rango etareo'!$B$2:$B$25,,-1)</f>
        <v>18 - 25</v>
      </c>
      <c r="S529" s="3" t="s">
        <v>21</v>
      </c>
      <c r="T529" s="3" t="str">
        <f>IF(crimenes_cordoba_ampliado[[#This Row],[Género Víctima]]="Masculino","🚹","🚺")</f>
        <v>🚺</v>
      </c>
      <c r="U529">
        <v>3</v>
      </c>
      <c r="V529" s="3" t="s">
        <v>25</v>
      </c>
      <c r="W529" s="3" t="s">
        <v>63</v>
      </c>
      <c r="X529" s="3" t="s">
        <v>24</v>
      </c>
      <c r="Y529" s="3" t="s">
        <v>77</v>
      </c>
      <c r="Z529" s="3" t="s">
        <v>25</v>
      </c>
      <c r="AA529" s="3" t="s">
        <v>23</v>
      </c>
      <c r="AB529" s="3" t="str">
        <f>IF(crimenes_cordoba_ampliado[[#This Row],[Hubo Arresto]]="Sí", "Resuelto", "Pendiente")</f>
        <v>Pendiente</v>
      </c>
      <c r="AC529" s="3" t="s">
        <v>24</v>
      </c>
      <c r="AD529" s="3"/>
    </row>
    <row r="530" spans="1:30" x14ac:dyDescent="0.25">
      <c r="A530">
        <v>522</v>
      </c>
      <c r="B530" s="1">
        <v>43990</v>
      </c>
      <c r="C530" s="33">
        <f t="shared" si="16"/>
        <v>43990</v>
      </c>
      <c r="D530" s="34">
        <f t="shared" si="17"/>
        <v>43990</v>
      </c>
      <c r="E530" s="35" t="s">
        <v>1452</v>
      </c>
      <c r="F530" s="2">
        <v>0.76458333333333328</v>
      </c>
      <c r="G530" s="3" t="s">
        <v>79</v>
      </c>
      <c r="H530" s="3" t="s">
        <v>20</v>
      </c>
      <c r="I530" s="25" t="str">
        <f>VLOOKUP(H530,Tabla5[#All],4,FALSE)</f>
        <v>-31,4800162965848, -64,2094200976892</v>
      </c>
      <c r="J530" s="1">
        <v>37576</v>
      </c>
      <c r="K530" s="7">
        <f>INT((crimenes_cordoba_ampliado[[#This Row],[Fecha]]-crimenes_cordoba_ampliado[[#This Row],[Fecha Nac. Delincuente]])/365)</f>
        <v>17</v>
      </c>
      <c r="L530" s="7" t="str">
        <f>_xlfn.XLOOKUP(crimenes_cordoba_ampliado[[#This Row],[EDAD DELINCUENTE]],'Rango etareo'!$A$10:$A$25,'Rango etareo'!$B$10:$B$25,,-1)</f>
        <v>&lt;=17</v>
      </c>
      <c r="M530" s="3" t="s">
        <v>22</v>
      </c>
      <c r="N530" s="3" t="str">
        <f>IF(crimenes_cordoba_ampliado[[#This Row],[Género Delincuente]]="Femenino","🚺","🚹")</f>
        <v>🚹</v>
      </c>
      <c r="O530">
        <v>5</v>
      </c>
      <c r="P530" s="1">
        <v>38540</v>
      </c>
      <c r="Q530" s="7">
        <f>INT((crimenes_cordoba_ampliado[[#This Row],[Fecha]]-crimenes_cordoba_ampliado[[#This Row],[Fecha Nac. Víctima]])/365)</f>
        <v>14</v>
      </c>
      <c r="R530" s="7" t="str">
        <f>_xlfn.XLOOKUP(crimenes_cordoba_ampliado[[#This Row],[EDAD VICTIMA]],'Rango etareo'!$A$2:$A$25,'Rango etareo'!$B$2:$B$25,,-1)</f>
        <v>&lt;=17</v>
      </c>
      <c r="S530" s="3" t="s">
        <v>22</v>
      </c>
      <c r="T530" s="3" t="str">
        <f>IF(crimenes_cordoba_ampliado[[#This Row],[Género Víctima]]="Masculino","🚹","🚺")</f>
        <v>🚹</v>
      </c>
      <c r="U530">
        <v>3</v>
      </c>
      <c r="V530" s="3" t="s">
        <v>23</v>
      </c>
      <c r="W530" s="3" t="s">
        <v>24</v>
      </c>
      <c r="X530" s="3" t="s">
        <v>24</v>
      </c>
      <c r="Y530" s="3" t="s">
        <v>86</v>
      </c>
      <c r="Z530" s="3" t="s">
        <v>23</v>
      </c>
      <c r="AA530" s="3" t="s">
        <v>25</v>
      </c>
      <c r="AB530" s="3" t="str">
        <f>IF(crimenes_cordoba_ampliado[[#This Row],[Hubo Arresto]]="Sí", "Resuelto", "Pendiente")</f>
        <v>Resuelto</v>
      </c>
      <c r="AC530" s="3" t="s">
        <v>206</v>
      </c>
      <c r="AD530" s="3"/>
    </row>
    <row r="531" spans="1:30" x14ac:dyDescent="0.25">
      <c r="A531">
        <v>524</v>
      </c>
      <c r="B531" s="1">
        <v>45453</v>
      </c>
      <c r="C531" s="33">
        <f t="shared" si="16"/>
        <v>45453</v>
      </c>
      <c r="D531" s="34">
        <f t="shared" si="17"/>
        <v>45453</v>
      </c>
      <c r="E531" s="35" t="s">
        <v>1452</v>
      </c>
      <c r="F531" s="2">
        <v>0.47916666666666669</v>
      </c>
      <c r="G531" s="3" t="s">
        <v>54</v>
      </c>
      <c r="H531" s="3" t="s">
        <v>70</v>
      </c>
      <c r="I531" s="25" t="str">
        <f>VLOOKUP(H531,Tabla5[#All],4,FALSE)</f>
        <v>-31,3759272890294, -64,2284587792478</v>
      </c>
      <c r="J531" s="1">
        <v>38163</v>
      </c>
      <c r="K531" s="7">
        <f>INT((crimenes_cordoba_ampliado[[#This Row],[Fecha]]-crimenes_cordoba_ampliado[[#This Row],[Fecha Nac. Delincuente]])/365)</f>
        <v>19</v>
      </c>
      <c r="L531" s="7" t="str">
        <f>_xlfn.XLOOKUP(crimenes_cordoba_ampliado[[#This Row],[EDAD DELINCUENTE]],'Rango etareo'!$A$10:$A$25,'Rango etareo'!$B$10:$B$25,,-1)</f>
        <v>18 - 25</v>
      </c>
      <c r="M531" s="3" t="s">
        <v>21</v>
      </c>
      <c r="N531" s="3" t="str">
        <f>IF(crimenes_cordoba_ampliado[[#This Row],[Género Delincuente]]="Femenino","🚺","🚹")</f>
        <v>🚺</v>
      </c>
      <c r="O531">
        <v>1</v>
      </c>
      <c r="P531" s="1">
        <v>17936</v>
      </c>
      <c r="Q531" s="7">
        <f>INT((crimenes_cordoba_ampliado[[#This Row],[Fecha]]-crimenes_cordoba_ampliado[[#This Row],[Fecha Nac. Víctima]])/365)</f>
        <v>75</v>
      </c>
      <c r="R531" s="7" t="str">
        <f>_xlfn.XLOOKUP(crimenes_cordoba_ampliado[[#This Row],[EDAD VICTIMA]],'Rango etareo'!$A$2:$A$25,'Rango etareo'!$B$2:$B$25,,-1)</f>
        <v>&gt;65</v>
      </c>
      <c r="S531" s="3" t="s">
        <v>22</v>
      </c>
      <c r="T531" s="3" t="str">
        <f>IF(crimenes_cordoba_ampliado[[#This Row],[Género Víctima]]="Masculino","🚹","🚺")</f>
        <v>🚹</v>
      </c>
      <c r="U531">
        <v>1</v>
      </c>
      <c r="V531" s="3" t="s">
        <v>23</v>
      </c>
      <c r="W531" s="3" t="s">
        <v>24</v>
      </c>
      <c r="X531" s="3" t="s">
        <v>24</v>
      </c>
      <c r="Y531" s="3" t="s">
        <v>39</v>
      </c>
      <c r="Z531" s="3" t="s">
        <v>25</v>
      </c>
      <c r="AA531" s="3" t="s">
        <v>25</v>
      </c>
      <c r="AB531" s="3" t="str">
        <f>IF(crimenes_cordoba_ampliado[[#This Row],[Hubo Arresto]]="Sí", "Resuelto", "Pendiente")</f>
        <v>Resuelto</v>
      </c>
      <c r="AC531" s="3" t="s">
        <v>260</v>
      </c>
      <c r="AD531" s="3"/>
    </row>
    <row r="532" spans="1:30" x14ac:dyDescent="0.25">
      <c r="A532">
        <v>526</v>
      </c>
      <c r="B532" s="1">
        <v>42530</v>
      </c>
      <c r="C532" s="33">
        <f t="shared" si="16"/>
        <v>42530</v>
      </c>
      <c r="D532" s="34">
        <f t="shared" si="17"/>
        <v>42530</v>
      </c>
      <c r="E532" s="35" t="s">
        <v>1454</v>
      </c>
      <c r="F532" s="2">
        <v>0.9770833333333333</v>
      </c>
      <c r="G532" s="3" t="s">
        <v>19</v>
      </c>
      <c r="H532" s="3" t="s">
        <v>32</v>
      </c>
      <c r="I532" s="25" t="str">
        <f>VLOOKUP(H532,Tabla5[#All],4,FALSE)</f>
        <v>-31,4148488101991, -64,1793406489438</v>
      </c>
      <c r="J532" s="1">
        <v>33856</v>
      </c>
      <c r="K532" s="7">
        <f>INT((crimenes_cordoba_ampliado[[#This Row],[Fecha]]-crimenes_cordoba_ampliado[[#This Row],[Fecha Nac. Delincuente]])/365)</f>
        <v>23</v>
      </c>
      <c r="L532" s="7" t="str">
        <f>_xlfn.XLOOKUP(crimenes_cordoba_ampliado[[#This Row],[EDAD DELINCUENTE]],'Rango etareo'!$A$10:$A$25,'Rango etareo'!$B$10:$B$25,,-1)</f>
        <v>18 - 25</v>
      </c>
      <c r="M532" s="3" t="s">
        <v>22</v>
      </c>
      <c r="N532" s="3" t="str">
        <f>IF(crimenes_cordoba_ampliado[[#This Row],[Género Delincuente]]="Femenino","🚺","🚹")</f>
        <v>🚹</v>
      </c>
      <c r="O532">
        <v>1</v>
      </c>
      <c r="P532" s="1">
        <v>39762</v>
      </c>
      <c r="Q532" s="7">
        <f>INT((crimenes_cordoba_ampliado[[#This Row],[Fecha]]-crimenes_cordoba_ampliado[[#This Row],[Fecha Nac. Víctima]])/365)</f>
        <v>7</v>
      </c>
      <c r="R532" s="7" t="str">
        <f>_xlfn.XLOOKUP(crimenes_cordoba_ampliado[[#This Row],[EDAD VICTIMA]],'Rango etareo'!$A$2:$A$25,'Rango etareo'!$B$2:$B$25,,-1)</f>
        <v>&lt;=17</v>
      </c>
      <c r="S532" s="3" t="s">
        <v>21</v>
      </c>
      <c r="T532" s="3" t="str">
        <f>IF(crimenes_cordoba_ampliado[[#This Row],[Género Víctima]]="Masculino","🚹","🚺")</f>
        <v>🚺</v>
      </c>
      <c r="U532">
        <v>1</v>
      </c>
      <c r="V532" s="3" t="s">
        <v>23</v>
      </c>
      <c r="W532" s="3" t="s">
        <v>83</v>
      </c>
      <c r="X532" s="3" t="s">
        <v>67</v>
      </c>
      <c r="Y532" s="3" t="s">
        <v>24</v>
      </c>
      <c r="Z532" s="3" t="s">
        <v>25</v>
      </c>
      <c r="AA532" s="3" t="s">
        <v>23</v>
      </c>
      <c r="AB532" s="3" t="str">
        <f>IF(crimenes_cordoba_ampliado[[#This Row],[Hubo Arresto]]="Sí", "Resuelto", "Pendiente")</f>
        <v>Resuelto</v>
      </c>
      <c r="AC532" s="3" t="s">
        <v>249</v>
      </c>
      <c r="AD532" s="3"/>
    </row>
    <row r="533" spans="1:30" x14ac:dyDescent="0.25">
      <c r="A533">
        <v>531</v>
      </c>
      <c r="B533" s="1">
        <v>45093</v>
      </c>
      <c r="C533" s="33">
        <f t="shared" si="16"/>
        <v>45093</v>
      </c>
      <c r="D533" s="34">
        <f t="shared" si="17"/>
        <v>45093</v>
      </c>
      <c r="E533" s="35" t="s">
        <v>1455</v>
      </c>
      <c r="F533" s="2">
        <v>0.55138888888888893</v>
      </c>
      <c r="G533" s="3" t="s">
        <v>19</v>
      </c>
      <c r="H533" s="3" t="s">
        <v>52</v>
      </c>
      <c r="I533" s="25" t="str">
        <f>VLOOKUP(H533,Tabla5[#All],4,FALSE)</f>
        <v>-31,3477902896523, -64,2644406169297</v>
      </c>
      <c r="J533" s="1">
        <v>23194</v>
      </c>
      <c r="K533" s="7">
        <f>INT((crimenes_cordoba_ampliado[[#This Row],[Fecha]]-crimenes_cordoba_ampliado[[#This Row],[Fecha Nac. Delincuente]])/365)</f>
        <v>59</v>
      </c>
      <c r="L533" s="7" t="str">
        <f>_xlfn.XLOOKUP(crimenes_cordoba_ampliado[[#This Row],[EDAD DELINCUENTE]],'Rango etareo'!$A$10:$A$25,'Rango etareo'!$B$10:$B$25,,-1)</f>
        <v>56 - 65</v>
      </c>
      <c r="M533" s="3" t="s">
        <v>21</v>
      </c>
      <c r="N533" s="3" t="str">
        <f>IF(crimenes_cordoba_ampliado[[#This Row],[Género Delincuente]]="Femenino","🚺","🚹")</f>
        <v>🚺</v>
      </c>
      <c r="O533">
        <v>1</v>
      </c>
      <c r="P533" s="1">
        <v>29289</v>
      </c>
      <c r="Q533" s="7">
        <f>INT((crimenes_cordoba_ampliado[[#This Row],[Fecha]]-crimenes_cordoba_ampliado[[#This Row],[Fecha Nac. Víctima]])/365)</f>
        <v>43</v>
      </c>
      <c r="R533" s="7" t="str">
        <f>_xlfn.XLOOKUP(crimenes_cordoba_ampliado[[#This Row],[EDAD VICTIMA]],'Rango etareo'!$A$2:$A$25,'Rango etareo'!$B$2:$B$25,,-1)</f>
        <v>36 - 45</v>
      </c>
      <c r="S533" s="3" t="s">
        <v>22</v>
      </c>
      <c r="T533" s="3" t="str">
        <f>IF(crimenes_cordoba_ampliado[[#This Row],[Género Víctima]]="Masculino","🚹","🚺")</f>
        <v>🚹</v>
      </c>
      <c r="U533">
        <v>3</v>
      </c>
      <c r="V533" s="3" t="s">
        <v>23</v>
      </c>
      <c r="W533" s="3" t="s">
        <v>24</v>
      </c>
      <c r="X533" s="3" t="s">
        <v>24</v>
      </c>
      <c r="Y533" s="3" t="s">
        <v>89</v>
      </c>
      <c r="Z533" s="3" t="s">
        <v>25</v>
      </c>
      <c r="AA533" s="3" t="s">
        <v>23</v>
      </c>
      <c r="AB533" s="3" t="str">
        <f>IF(crimenes_cordoba_ampliado[[#This Row],[Hubo Arresto]]="Sí", "Resuelto", "Pendiente")</f>
        <v>Resuelto</v>
      </c>
      <c r="AC533" s="3" t="s">
        <v>194</v>
      </c>
      <c r="AD533" s="3"/>
    </row>
    <row r="534" spans="1:30" x14ac:dyDescent="0.25">
      <c r="A534">
        <v>10</v>
      </c>
      <c r="B534" s="1">
        <v>44027</v>
      </c>
      <c r="C534" s="33">
        <f t="shared" si="16"/>
        <v>44027</v>
      </c>
      <c r="D534" s="34">
        <f t="shared" si="17"/>
        <v>44027</v>
      </c>
      <c r="E534" s="35" t="s">
        <v>1450</v>
      </c>
      <c r="F534" s="2">
        <v>0.15486111111111112</v>
      </c>
      <c r="G534" s="3" t="s">
        <v>48</v>
      </c>
      <c r="H534" s="3" t="s">
        <v>49</v>
      </c>
      <c r="I534" s="25" t="str">
        <f>VLOOKUP(H534,Tabla5[#All],4,FALSE)</f>
        <v>-31,4506257494184, -64,1733054344705</v>
      </c>
      <c r="J534" s="1">
        <v>20373</v>
      </c>
      <c r="K534" s="7">
        <f>INT((crimenes_cordoba_ampliado[[#This Row],[Fecha]]-crimenes_cordoba_ampliado[[#This Row],[Fecha Nac. Delincuente]])/365)</f>
        <v>64</v>
      </c>
      <c r="L534" s="7" t="str">
        <f>_xlfn.XLOOKUP(crimenes_cordoba_ampliado[[#This Row],[EDAD DELINCUENTE]],'Rango etareo'!$A$10:$A$25,'Rango etareo'!$B$10:$B$25,,-1)</f>
        <v>56 - 65</v>
      </c>
      <c r="M534" s="3" t="s">
        <v>21</v>
      </c>
      <c r="N534" s="3" t="str">
        <f>IF(crimenes_cordoba_ampliado[[#This Row],[Género Delincuente]]="Femenino","🚺","🚹")</f>
        <v>🚺</v>
      </c>
      <c r="O534">
        <v>2</v>
      </c>
      <c r="P534" s="1">
        <v>34707</v>
      </c>
      <c r="Q534" s="7">
        <f>INT((crimenes_cordoba_ampliado[[#This Row],[Fecha]]-crimenes_cordoba_ampliado[[#This Row],[Fecha Nac. Víctima]])/365)</f>
        <v>25</v>
      </c>
      <c r="R534" s="7" t="str">
        <f>_xlfn.XLOOKUP(crimenes_cordoba_ampliado[[#This Row],[EDAD VICTIMA]],'Rango etareo'!$A$2:$A$25,'Rango etareo'!$B$2:$B$25,,-1)</f>
        <v>18 - 25</v>
      </c>
      <c r="S534" s="3" t="s">
        <v>21</v>
      </c>
      <c r="T534" s="3" t="str">
        <f>IF(crimenes_cordoba_ampliado[[#This Row],[Género Víctima]]="Masculino","🚹","🚺")</f>
        <v>🚺</v>
      </c>
      <c r="U534">
        <v>1</v>
      </c>
      <c r="V534" s="3" t="s">
        <v>25</v>
      </c>
      <c r="W534" s="3" t="s">
        <v>24</v>
      </c>
      <c r="X534" s="3" t="s">
        <v>50</v>
      </c>
      <c r="Y534" s="3" t="s">
        <v>24</v>
      </c>
      <c r="Z534" s="3" t="s">
        <v>25</v>
      </c>
      <c r="AA534" s="3" t="s">
        <v>23</v>
      </c>
      <c r="AB534" s="3" t="str">
        <f>IF(crimenes_cordoba_ampliado[[#This Row],[Hubo Arresto]]="Sí", "Resuelto", "Pendiente")</f>
        <v>Pendiente</v>
      </c>
      <c r="AC534" s="3" t="s">
        <v>24</v>
      </c>
      <c r="AD534" s="3"/>
    </row>
    <row r="535" spans="1:30" x14ac:dyDescent="0.25">
      <c r="A535">
        <v>532</v>
      </c>
      <c r="B535" s="1">
        <v>45201</v>
      </c>
      <c r="C535" s="33">
        <f t="shared" si="16"/>
        <v>45201</v>
      </c>
      <c r="D535" s="34">
        <f t="shared" si="17"/>
        <v>45201</v>
      </c>
      <c r="E535" s="35" t="s">
        <v>1452</v>
      </c>
      <c r="F535" s="2">
        <v>0.25763888888888886</v>
      </c>
      <c r="G535" s="3" t="s">
        <v>31</v>
      </c>
      <c r="H535" s="3" t="s">
        <v>65</v>
      </c>
      <c r="I535" s="25" t="str">
        <f>VLOOKUP(H535,Tabla5[#All],4,FALSE)</f>
        <v>-31,4285567311661, -64,1853198281007</v>
      </c>
      <c r="J535" s="1">
        <v>19644</v>
      </c>
      <c r="K535" s="7">
        <f>INT((crimenes_cordoba_ampliado[[#This Row],[Fecha]]-crimenes_cordoba_ampliado[[#This Row],[Fecha Nac. Delincuente]])/365)</f>
        <v>70</v>
      </c>
      <c r="L535" s="7" t="str">
        <f>_xlfn.XLOOKUP(crimenes_cordoba_ampliado[[#This Row],[EDAD DELINCUENTE]],'Rango etareo'!$A$10:$A$25,'Rango etareo'!$B$10:$B$25,,-1)</f>
        <v>&gt;65</v>
      </c>
      <c r="M535" s="3" t="s">
        <v>21</v>
      </c>
      <c r="N535" s="3" t="str">
        <f>IF(crimenes_cordoba_ampliado[[#This Row],[Género Delincuente]]="Femenino","🚺","🚹")</f>
        <v>🚺</v>
      </c>
      <c r="O535">
        <v>2</v>
      </c>
      <c r="P535" s="1">
        <v>24124</v>
      </c>
      <c r="Q535" s="7">
        <f>INT((crimenes_cordoba_ampliado[[#This Row],[Fecha]]-crimenes_cordoba_ampliado[[#This Row],[Fecha Nac. Víctima]])/365)</f>
        <v>57</v>
      </c>
      <c r="R535" s="7" t="str">
        <f>_xlfn.XLOOKUP(crimenes_cordoba_ampliado[[#This Row],[EDAD VICTIMA]],'Rango etareo'!$A$2:$A$25,'Rango etareo'!$B$2:$B$25,,-1)</f>
        <v>56 - 65</v>
      </c>
      <c r="S535" s="3" t="s">
        <v>21</v>
      </c>
      <c r="T535" s="3" t="str">
        <f>IF(crimenes_cordoba_ampliado[[#This Row],[Género Víctima]]="Masculino","🚹","🚺")</f>
        <v>🚺</v>
      </c>
      <c r="U535">
        <v>1</v>
      </c>
      <c r="V535" s="3" t="s">
        <v>23</v>
      </c>
      <c r="W535" s="3" t="s">
        <v>24</v>
      </c>
      <c r="X535" s="3" t="s">
        <v>67</v>
      </c>
      <c r="Y535" s="3" t="s">
        <v>24</v>
      </c>
      <c r="Z535" s="3" t="s">
        <v>25</v>
      </c>
      <c r="AA535" s="3" t="s">
        <v>23</v>
      </c>
      <c r="AB535" s="3" t="str">
        <f>IF(crimenes_cordoba_ampliado[[#This Row],[Hubo Arresto]]="Sí", "Resuelto", "Pendiente")</f>
        <v>Resuelto</v>
      </c>
      <c r="AC535" s="3" t="s">
        <v>261</v>
      </c>
      <c r="AD535" s="3"/>
    </row>
    <row r="536" spans="1:30" x14ac:dyDescent="0.25">
      <c r="A536">
        <v>533</v>
      </c>
      <c r="B536" s="1">
        <v>42719</v>
      </c>
      <c r="C536" s="33">
        <f t="shared" si="16"/>
        <v>42719</v>
      </c>
      <c r="D536" s="34">
        <f t="shared" si="17"/>
        <v>42719</v>
      </c>
      <c r="E536" s="35" t="s">
        <v>1454</v>
      </c>
      <c r="F536" s="2">
        <v>0.42222222222222222</v>
      </c>
      <c r="G536" s="3" t="s">
        <v>31</v>
      </c>
      <c r="H536" s="3" t="s">
        <v>32</v>
      </c>
      <c r="I536" s="25" t="str">
        <f>VLOOKUP(H536,Tabla5[#All],4,FALSE)</f>
        <v>-31,4148488101991, -64,1793406489438</v>
      </c>
      <c r="J536" s="1">
        <v>20258</v>
      </c>
      <c r="K536" s="7">
        <f>INT((crimenes_cordoba_ampliado[[#This Row],[Fecha]]-crimenes_cordoba_ampliado[[#This Row],[Fecha Nac. Delincuente]])/365)</f>
        <v>61</v>
      </c>
      <c r="L536" s="7" t="str">
        <f>_xlfn.XLOOKUP(crimenes_cordoba_ampliado[[#This Row],[EDAD DELINCUENTE]],'Rango etareo'!$A$10:$A$25,'Rango etareo'!$B$10:$B$25,,-1)</f>
        <v>56 - 65</v>
      </c>
      <c r="M536" s="3" t="s">
        <v>22</v>
      </c>
      <c r="N536" s="3" t="str">
        <f>IF(crimenes_cordoba_ampliado[[#This Row],[Género Delincuente]]="Femenino","🚺","🚹")</f>
        <v>🚹</v>
      </c>
      <c r="O536">
        <v>1</v>
      </c>
      <c r="P536" s="1">
        <v>32479</v>
      </c>
      <c r="Q536" s="7">
        <f>INT((crimenes_cordoba_ampliado[[#This Row],[Fecha]]-crimenes_cordoba_ampliado[[#This Row],[Fecha Nac. Víctima]])/365)</f>
        <v>28</v>
      </c>
      <c r="R536" s="7" t="str">
        <f>_xlfn.XLOOKUP(crimenes_cordoba_ampliado[[#This Row],[EDAD VICTIMA]],'Rango etareo'!$A$2:$A$25,'Rango etareo'!$B$2:$B$25,,-1)</f>
        <v>26 - 35</v>
      </c>
      <c r="S536" s="3" t="s">
        <v>22</v>
      </c>
      <c r="T536" s="3" t="str">
        <f>IF(crimenes_cordoba_ampliado[[#This Row],[Género Víctima]]="Masculino","🚹","🚺")</f>
        <v>🚹</v>
      </c>
      <c r="U536">
        <v>1</v>
      </c>
      <c r="V536" s="3" t="s">
        <v>23</v>
      </c>
      <c r="W536" s="3" t="s">
        <v>24</v>
      </c>
      <c r="X536" s="3" t="s">
        <v>24</v>
      </c>
      <c r="Y536" s="3" t="s">
        <v>113</v>
      </c>
      <c r="Z536" s="3" t="s">
        <v>25</v>
      </c>
      <c r="AA536" s="3" t="s">
        <v>23</v>
      </c>
      <c r="AB536" s="3" t="str">
        <f>IF(crimenes_cordoba_ampliado[[#This Row],[Hubo Arresto]]="Sí", "Resuelto", "Pendiente")</f>
        <v>Resuelto</v>
      </c>
      <c r="AC536" s="3" t="s">
        <v>262</v>
      </c>
      <c r="AD536" s="3"/>
    </row>
    <row r="537" spans="1:30" x14ac:dyDescent="0.25">
      <c r="A537">
        <v>534</v>
      </c>
      <c r="B537" s="1">
        <v>45622</v>
      </c>
      <c r="C537" s="33">
        <f t="shared" si="16"/>
        <v>45622</v>
      </c>
      <c r="D537" s="34">
        <f t="shared" si="17"/>
        <v>45622</v>
      </c>
      <c r="E537" s="35" t="s">
        <v>1453</v>
      </c>
      <c r="F537" s="2">
        <v>0.40069444444444446</v>
      </c>
      <c r="G537" s="3" t="s">
        <v>54</v>
      </c>
      <c r="H537" s="3" t="s">
        <v>32</v>
      </c>
      <c r="I537" s="25" t="str">
        <f>VLOOKUP(H537,Tabla5[#All],4,FALSE)</f>
        <v>-31,4148488101991, -64,1793406489438</v>
      </c>
      <c r="J537" s="1">
        <v>25059</v>
      </c>
      <c r="K537" s="7">
        <f>INT((crimenes_cordoba_ampliado[[#This Row],[Fecha]]-crimenes_cordoba_ampliado[[#This Row],[Fecha Nac. Delincuente]])/365)</f>
        <v>56</v>
      </c>
      <c r="L537" s="7" t="str">
        <f>_xlfn.XLOOKUP(crimenes_cordoba_ampliado[[#This Row],[EDAD DELINCUENTE]],'Rango etareo'!$A$10:$A$25,'Rango etareo'!$B$10:$B$25,,-1)</f>
        <v>56 - 65</v>
      </c>
      <c r="M537" s="3" t="s">
        <v>21</v>
      </c>
      <c r="N537" s="3" t="str">
        <f>IF(crimenes_cordoba_ampliado[[#This Row],[Género Delincuente]]="Femenino","🚺","🚹")</f>
        <v>🚺</v>
      </c>
      <c r="O537">
        <v>2</v>
      </c>
      <c r="P537" s="1">
        <v>18634</v>
      </c>
      <c r="Q537" s="7">
        <f>INT((crimenes_cordoba_ampliado[[#This Row],[Fecha]]-crimenes_cordoba_ampliado[[#This Row],[Fecha Nac. Víctima]])/365)</f>
        <v>73</v>
      </c>
      <c r="R537" s="7" t="str">
        <f>_xlfn.XLOOKUP(crimenes_cordoba_ampliado[[#This Row],[EDAD VICTIMA]],'Rango etareo'!$A$2:$A$25,'Rango etareo'!$B$2:$B$25,,-1)</f>
        <v>&gt;65</v>
      </c>
      <c r="S537" s="3" t="s">
        <v>22</v>
      </c>
      <c r="T537" s="3" t="str">
        <f>IF(crimenes_cordoba_ampliado[[#This Row],[Género Víctima]]="Masculino","🚹","🚺")</f>
        <v>🚹</v>
      </c>
      <c r="U537">
        <v>2</v>
      </c>
      <c r="V537" s="3" t="s">
        <v>23</v>
      </c>
      <c r="W537" s="3" t="s">
        <v>24</v>
      </c>
      <c r="X537" s="3" t="s">
        <v>24</v>
      </c>
      <c r="Y537" s="3" t="s">
        <v>43</v>
      </c>
      <c r="Z537" s="3" t="s">
        <v>25</v>
      </c>
      <c r="AA537" s="3" t="s">
        <v>25</v>
      </c>
      <c r="AB537" s="3" t="str">
        <f>IF(crimenes_cordoba_ampliado[[#This Row],[Hubo Arresto]]="Sí", "Resuelto", "Pendiente")</f>
        <v>Resuelto</v>
      </c>
      <c r="AC537" s="3" t="s">
        <v>263</v>
      </c>
      <c r="AD537" s="3"/>
    </row>
    <row r="538" spans="1:30" x14ac:dyDescent="0.25">
      <c r="A538">
        <v>48</v>
      </c>
      <c r="B538" s="1">
        <v>44049</v>
      </c>
      <c r="C538" s="33">
        <f t="shared" si="16"/>
        <v>44049</v>
      </c>
      <c r="D538" s="34">
        <f t="shared" si="17"/>
        <v>44049</v>
      </c>
      <c r="E538" s="35" t="s">
        <v>1454</v>
      </c>
      <c r="F538" s="2">
        <v>0.13680555555555557</v>
      </c>
      <c r="G538" s="3" t="s">
        <v>45</v>
      </c>
      <c r="H538" s="3" t="s">
        <v>65</v>
      </c>
      <c r="I538" s="25" t="str">
        <f>VLOOKUP(H538,Tabla5[#All],4,FALSE)</f>
        <v>-31,4285567311661, -64,1853198281007</v>
      </c>
      <c r="J538" s="1">
        <v>36704</v>
      </c>
      <c r="K538" s="7">
        <f>INT((crimenes_cordoba_ampliado[[#This Row],[Fecha]]-crimenes_cordoba_ampliado[[#This Row],[Fecha Nac. Delincuente]])/365)</f>
        <v>20</v>
      </c>
      <c r="L538" s="7" t="str">
        <f>_xlfn.XLOOKUP(crimenes_cordoba_ampliado[[#This Row],[EDAD DELINCUENTE]],'Rango etareo'!$A$10:$A$25,'Rango etareo'!$B$10:$B$25,,-1)</f>
        <v>18 - 25</v>
      </c>
      <c r="M538" s="3" t="s">
        <v>21</v>
      </c>
      <c r="N538" s="3" t="str">
        <f>IF(crimenes_cordoba_ampliado[[#This Row],[Género Delincuente]]="Femenino","🚺","🚹")</f>
        <v>🚺</v>
      </c>
      <c r="O538">
        <v>4</v>
      </c>
      <c r="P538" s="1">
        <v>25848</v>
      </c>
      <c r="Q538" s="7">
        <f>INT((crimenes_cordoba_ampliado[[#This Row],[Fecha]]-crimenes_cordoba_ampliado[[#This Row],[Fecha Nac. Víctima]])/365)</f>
        <v>49</v>
      </c>
      <c r="R538" s="7" t="str">
        <f>_xlfn.XLOOKUP(crimenes_cordoba_ampliado[[#This Row],[EDAD VICTIMA]],'Rango etareo'!$A$2:$A$25,'Rango etareo'!$B$2:$B$25,,-1)</f>
        <v>46 - 55</v>
      </c>
      <c r="S538" s="3" t="s">
        <v>22</v>
      </c>
      <c r="T538" s="3" t="str">
        <f>IF(crimenes_cordoba_ampliado[[#This Row],[Género Víctima]]="Masculino","🚹","🚺")</f>
        <v>🚹</v>
      </c>
      <c r="U538">
        <v>2</v>
      </c>
      <c r="V538" s="3" t="s">
        <v>25</v>
      </c>
      <c r="W538" s="3" t="s">
        <v>24</v>
      </c>
      <c r="X538" s="3" t="s">
        <v>67</v>
      </c>
      <c r="Y538" s="3" t="s">
        <v>24</v>
      </c>
      <c r="Z538" s="3" t="s">
        <v>25</v>
      </c>
      <c r="AA538" s="3" t="s">
        <v>23</v>
      </c>
      <c r="AB538" s="3" t="str">
        <f>IF(crimenes_cordoba_ampliado[[#This Row],[Hubo Arresto]]="Sí", "Resuelto", "Pendiente")</f>
        <v>Pendiente</v>
      </c>
      <c r="AC538" s="3" t="s">
        <v>24</v>
      </c>
      <c r="AD538" s="3"/>
    </row>
    <row r="539" spans="1:30" x14ac:dyDescent="0.25">
      <c r="A539">
        <v>535</v>
      </c>
      <c r="B539" s="1">
        <v>44788</v>
      </c>
      <c r="C539" s="33">
        <f t="shared" si="16"/>
        <v>44788</v>
      </c>
      <c r="D539" s="34">
        <f t="shared" si="17"/>
        <v>44788</v>
      </c>
      <c r="E539" s="35" t="s">
        <v>1452</v>
      </c>
      <c r="F539" s="2">
        <v>0.53541666666666665</v>
      </c>
      <c r="G539" s="3" t="s">
        <v>38</v>
      </c>
      <c r="H539" s="3" t="s">
        <v>20</v>
      </c>
      <c r="I539" s="25" t="str">
        <f>VLOOKUP(H539,Tabla5[#All],4,FALSE)</f>
        <v>-31,4800162965848, -64,2094200976892</v>
      </c>
      <c r="J539" s="1">
        <v>19035</v>
      </c>
      <c r="K539" s="7">
        <f>INT((crimenes_cordoba_ampliado[[#This Row],[Fecha]]-crimenes_cordoba_ampliado[[#This Row],[Fecha Nac. Delincuente]])/365)</f>
        <v>70</v>
      </c>
      <c r="L539" s="7" t="str">
        <f>_xlfn.XLOOKUP(crimenes_cordoba_ampliado[[#This Row],[EDAD DELINCUENTE]],'Rango etareo'!$A$10:$A$25,'Rango etareo'!$B$10:$B$25,,-1)</f>
        <v>&gt;65</v>
      </c>
      <c r="M539" s="3" t="s">
        <v>22</v>
      </c>
      <c r="N539" s="3" t="str">
        <f>IF(crimenes_cordoba_ampliado[[#This Row],[Género Delincuente]]="Femenino","🚺","🚹")</f>
        <v>🚹</v>
      </c>
      <c r="O539">
        <v>4</v>
      </c>
      <c r="P539" s="1">
        <v>24143</v>
      </c>
      <c r="Q539" s="7">
        <f>INT((crimenes_cordoba_ampliado[[#This Row],[Fecha]]-crimenes_cordoba_ampliado[[#This Row],[Fecha Nac. Víctima]])/365)</f>
        <v>56</v>
      </c>
      <c r="R539" s="7" t="str">
        <f>_xlfn.XLOOKUP(crimenes_cordoba_ampliado[[#This Row],[EDAD VICTIMA]],'Rango etareo'!$A$2:$A$25,'Rango etareo'!$B$2:$B$25,,-1)</f>
        <v>56 - 65</v>
      </c>
      <c r="S539" s="3" t="s">
        <v>22</v>
      </c>
      <c r="T539" s="3" t="str">
        <f>IF(crimenes_cordoba_ampliado[[#This Row],[Género Víctima]]="Masculino","🚹","🚺")</f>
        <v>🚹</v>
      </c>
      <c r="U539">
        <v>2</v>
      </c>
      <c r="V539" s="3" t="s">
        <v>23</v>
      </c>
      <c r="W539" s="3" t="s">
        <v>24</v>
      </c>
      <c r="X539" s="3" t="s">
        <v>24</v>
      </c>
      <c r="Y539" s="3" t="s">
        <v>72</v>
      </c>
      <c r="Z539" s="3" t="s">
        <v>25</v>
      </c>
      <c r="AA539" s="3" t="s">
        <v>23</v>
      </c>
      <c r="AB539" s="3" t="str">
        <f>IF(crimenes_cordoba_ampliado[[#This Row],[Hubo Arresto]]="Sí", "Resuelto", "Pendiente")</f>
        <v>Resuelto</v>
      </c>
      <c r="AC539" s="3" t="s">
        <v>148</v>
      </c>
      <c r="AD539" s="3"/>
    </row>
    <row r="540" spans="1:30" x14ac:dyDescent="0.25">
      <c r="A540">
        <v>802</v>
      </c>
      <c r="B540" s="1">
        <v>44054</v>
      </c>
      <c r="C540" s="33">
        <f t="shared" si="16"/>
        <v>44054</v>
      </c>
      <c r="D540" s="34">
        <f t="shared" si="17"/>
        <v>44054</v>
      </c>
      <c r="E540" s="35" t="s">
        <v>1453</v>
      </c>
      <c r="F540" s="2">
        <v>0.3888888888888889</v>
      </c>
      <c r="G540" s="3" t="s">
        <v>42</v>
      </c>
      <c r="H540" s="3" t="s">
        <v>55</v>
      </c>
      <c r="I540" s="25" t="str">
        <f>VLOOKUP(H540,Tabla5[#All],4,FALSE)</f>
        <v>-31,4015892433235, -64,160442876477</v>
      </c>
      <c r="J540" s="1">
        <v>20319</v>
      </c>
      <c r="K540" s="7">
        <f>INT((crimenes_cordoba_ampliado[[#This Row],[Fecha]]-crimenes_cordoba_ampliado[[#This Row],[Fecha Nac. Delincuente]])/365)</f>
        <v>65</v>
      </c>
      <c r="L540" s="7" t="str">
        <f>_xlfn.XLOOKUP(crimenes_cordoba_ampliado[[#This Row],[EDAD DELINCUENTE]],'Rango etareo'!$A$10:$A$25,'Rango etareo'!$B$10:$B$25,,-1)</f>
        <v>&gt;65</v>
      </c>
      <c r="M540" s="3" t="s">
        <v>22</v>
      </c>
      <c r="N540" s="3" t="str">
        <f>IF(crimenes_cordoba_ampliado[[#This Row],[Género Delincuente]]="Femenino","🚺","🚹")</f>
        <v>🚹</v>
      </c>
      <c r="O540">
        <v>3</v>
      </c>
      <c r="P540" s="1">
        <v>33306</v>
      </c>
      <c r="Q540" s="7">
        <f>INT((crimenes_cordoba_ampliado[[#This Row],[Fecha]]-crimenes_cordoba_ampliado[[#This Row],[Fecha Nac. Víctima]])/365)</f>
        <v>29</v>
      </c>
      <c r="R540" s="7" t="str">
        <f>_xlfn.XLOOKUP(crimenes_cordoba_ampliado[[#This Row],[EDAD VICTIMA]],'Rango etareo'!$A$2:$A$25,'Rango etareo'!$B$2:$B$25,,-1)</f>
        <v>26 - 35</v>
      </c>
      <c r="S540" s="3" t="s">
        <v>21</v>
      </c>
      <c r="T540" s="3" t="str">
        <f>IF(crimenes_cordoba_ampliado[[#This Row],[Género Víctima]]="Masculino","🚹","🚺")</f>
        <v>🚺</v>
      </c>
      <c r="U540">
        <v>1</v>
      </c>
      <c r="V540" s="3" t="s">
        <v>25</v>
      </c>
      <c r="W540" s="3" t="s">
        <v>24</v>
      </c>
      <c r="X540" s="3" t="s">
        <v>24</v>
      </c>
      <c r="Y540" s="3" t="s">
        <v>43</v>
      </c>
      <c r="Z540" s="3" t="s">
        <v>25</v>
      </c>
      <c r="AA540" s="3" t="s">
        <v>25</v>
      </c>
      <c r="AB540" s="3" t="str">
        <f>IF(crimenes_cordoba_ampliado[[#This Row],[Hubo Arresto]]="Sí", "Resuelto", "Pendiente")</f>
        <v>Pendiente</v>
      </c>
      <c r="AC540" s="3" t="s">
        <v>24</v>
      </c>
      <c r="AD540" s="3"/>
    </row>
    <row r="541" spans="1:30" x14ac:dyDescent="0.25">
      <c r="A541">
        <v>436</v>
      </c>
      <c r="B541" s="1">
        <v>44055</v>
      </c>
      <c r="C541" s="33">
        <f t="shared" si="16"/>
        <v>44055</v>
      </c>
      <c r="D541" s="34">
        <f t="shared" si="17"/>
        <v>44055</v>
      </c>
      <c r="E541" s="35" t="s">
        <v>1450</v>
      </c>
      <c r="F541" s="2">
        <v>0.81319444444444444</v>
      </c>
      <c r="G541" s="3" t="s">
        <v>51</v>
      </c>
      <c r="H541" s="3" t="s">
        <v>40</v>
      </c>
      <c r="I541" s="25" t="str">
        <f>VLOOKUP(H541,Tabla5[#All],4,FALSE)</f>
        <v>-31,334500143441, -64,2460773260564</v>
      </c>
      <c r="J541" s="1">
        <v>30819</v>
      </c>
      <c r="K541" s="7">
        <f>INT((crimenes_cordoba_ampliado[[#This Row],[Fecha]]-crimenes_cordoba_ampliado[[#This Row],[Fecha Nac. Delincuente]])/365)</f>
        <v>36</v>
      </c>
      <c r="L541" s="7" t="str">
        <f>_xlfn.XLOOKUP(crimenes_cordoba_ampliado[[#This Row],[EDAD DELINCUENTE]],'Rango etareo'!$A$10:$A$25,'Rango etareo'!$B$10:$B$25,,-1)</f>
        <v>36 - 45</v>
      </c>
      <c r="M541" s="3" t="s">
        <v>22</v>
      </c>
      <c r="N541" s="3" t="str">
        <f>IF(crimenes_cordoba_ampliado[[#This Row],[Género Delincuente]]="Femenino","🚺","🚹")</f>
        <v>🚹</v>
      </c>
      <c r="O541">
        <v>2</v>
      </c>
      <c r="P541" s="1">
        <v>15532</v>
      </c>
      <c r="Q541" s="7">
        <f>INT((crimenes_cordoba_ampliado[[#This Row],[Fecha]]-crimenes_cordoba_ampliado[[#This Row],[Fecha Nac. Víctima]])/365)</f>
        <v>78</v>
      </c>
      <c r="R541" s="7" t="str">
        <f>_xlfn.XLOOKUP(crimenes_cordoba_ampliado[[#This Row],[EDAD VICTIMA]],'Rango etareo'!$A$2:$A$25,'Rango etareo'!$B$2:$B$25,,-1)</f>
        <v>&gt;65</v>
      </c>
      <c r="S541" s="3" t="s">
        <v>22</v>
      </c>
      <c r="T541" s="3" t="str">
        <f>IF(crimenes_cordoba_ampliado[[#This Row],[Género Víctima]]="Masculino","🚹","🚺")</f>
        <v>🚹</v>
      </c>
      <c r="U541">
        <v>1</v>
      </c>
      <c r="V541" s="3" t="s">
        <v>25</v>
      </c>
      <c r="W541" s="3" t="s">
        <v>71</v>
      </c>
      <c r="X541" s="3" t="s">
        <v>24</v>
      </c>
      <c r="Y541" s="3" t="s">
        <v>99</v>
      </c>
      <c r="Z541" s="3" t="s">
        <v>25</v>
      </c>
      <c r="AA541" s="3" t="s">
        <v>25</v>
      </c>
      <c r="AB541" s="3" t="str">
        <f>IF(crimenes_cordoba_ampliado[[#This Row],[Hubo Arresto]]="Sí", "Resuelto", "Pendiente")</f>
        <v>Pendiente</v>
      </c>
      <c r="AC541" s="3" t="s">
        <v>24</v>
      </c>
      <c r="AD541" s="3"/>
    </row>
    <row r="542" spans="1:30" x14ac:dyDescent="0.25">
      <c r="A542">
        <v>536</v>
      </c>
      <c r="B542" s="1">
        <v>45274</v>
      </c>
      <c r="C542" s="33">
        <f t="shared" si="16"/>
        <v>45274</v>
      </c>
      <c r="D542" s="34">
        <f t="shared" si="17"/>
        <v>45274</v>
      </c>
      <c r="E542" s="35" t="s">
        <v>1454</v>
      </c>
      <c r="F542" s="2">
        <v>0.54791666666666672</v>
      </c>
      <c r="G542" s="3" t="s">
        <v>81</v>
      </c>
      <c r="H542" s="3" t="s">
        <v>70</v>
      </c>
      <c r="I542" s="25" t="str">
        <f>VLOOKUP(H542,Tabla5[#All],4,FALSE)</f>
        <v>-31,3759272890294, -64,2284587792478</v>
      </c>
      <c r="J542" s="1">
        <v>37470</v>
      </c>
      <c r="K542" s="7">
        <f>INT((crimenes_cordoba_ampliado[[#This Row],[Fecha]]-crimenes_cordoba_ampliado[[#This Row],[Fecha Nac. Delincuente]])/365)</f>
        <v>21</v>
      </c>
      <c r="L542" s="7" t="str">
        <f>_xlfn.XLOOKUP(crimenes_cordoba_ampliado[[#This Row],[EDAD DELINCUENTE]],'Rango etareo'!$A$10:$A$25,'Rango etareo'!$B$10:$B$25,,-1)</f>
        <v>18 - 25</v>
      </c>
      <c r="M542" s="3" t="s">
        <v>21</v>
      </c>
      <c r="N542" s="3" t="str">
        <f>IF(crimenes_cordoba_ampliado[[#This Row],[Género Delincuente]]="Femenino","🚺","🚹")</f>
        <v>🚺</v>
      </c>
      <c r="O542">
        <v>5</v>
      </c>
      <c r="P542" s="1">
        <v>20733</v>
      </c>
      <c r="Q542" s="7">
        <f>INT((crimenes_cordoba_ampliado[[#This Row],[Fecha]]-crimenes_cordoba_ampliado[[#This Row],[Fecha Nac. Víctima]])/365)</f>
        <v>67</v>
      </c>
      <c r="R542" s="7" t="str">
        <f>_xlfn.XLOOKUP(crimenes_cordoba_ampliado[[#This Row],[EDAD VICTIMA]],'Rango etareo'!$A$2:$A$25,'Rango etareo'!$B$2:$B$25,,-1)</f>
        <v>&gt;65</v>
      </c>
      <c r="S542" s="3" t="s">
        <v>22</v>
      </c>
      <c r="T542" s="3" t="str">
        <f>IF(crimenes_cordoba_ampliado[[#This Row],[Género Víctima]]="Masculino","🚹","🚺")</f>
        <v>🚹</v>
      </c>
      <c r="U542">
        <v>3</v>
      </c>
      <c r="V542" s="3" t="s">
        <v>23</v>
      </c>
      <c r="W542" s="3" t="s">
        <v>24</v>
      </c>
      <c r="X542" s="3" t="s">
        <v>24</v>
      </c>
      <c r="Y542" s="3" t="s">
        <v>113</v>
      </c>
      <c r="Z542" s="3" t="s">
        <v>25</v>
      </c>
      <c r="AA542" s="3" t="s">
        <v>25</v>
      </c>
      <c r="AB542" s="3" t="str">
        <f>IF(crimenes_cordoba_ampliado[[#This Row],[Hubo Arresto]]="Sí", "Resuelto", "Pendiente")</f>
        <v>Resuelto</v>
      </c>
      <c r="AC542" s="3" t="s">
        <v>180</v>
      </c>
      <c r="AD542" s="3"/>
    </row>
    <row r="543" spans="1:30" x14ac:dyDescent="0.25">
      <c r="A543">
        <v>537</v>
      </c>
      <c r="B543" s="1">
        <v>42665</v>
      </c>
      <c r="C543" s="33">
        <f t="shared" si="16"/>
        <v>42665</v>
      </c>
      <c r="D543" s="34">
        <f t="shared" si="17"/>
        <v>42665</v>
      </c>
      <c r="E543" s="35" t="s">
        <v>1451</v>
      </c>
      <c r="F543" s="2">
        <v>0.66180555555555554</v>
      </c>
      <c r="G543" s="3" t="s">
        <v>35</v>
      </c>
      <c r="H543" s="3" t="s">
        <v>55</v>
      </c>
      <c r="I543" s="25" t="str">
        <f>VLOOKUP(H543,Tabla5[#All],4,FALSE)</f>
        <v>-31,4015892433235, -64,160442876477</v>
      </c>
      <c r="J543" s="1">
        <v>35836</v>
      </c>
      <c r="K543" s="7">
        <f>INT((crimenes_cordoba_ampliado[[#This Row],[Fecha]]-crimenes_cordoba_ampliado[[#This Row],[Fecha Nac. Delincuente]])/365)</f>
        <v>18</v>
      </c>
      <c r="L543" s="7" t="str">
        <f>_xlfn.XLOOKUP(crimenes_cordoba_ampliado[[#This Row],[EDAD DELINCUENTE]],'Rango etareo'!$A$10:$A$25,'Rango etareo'!$B$10:$B$25,,-1)</f>
        <v>18 - 25</v>
      </c>
      <c r="M543" s="3" t="s">
        <v>22</v>
      </c>
      <c r="N543" s="3" t="str">
        <f>IF(crimenes_cordoba_ampliado[[#This Row],[Género Delincuente]]="Femenino","🚺","🚹")</f>
        <v>🚹</v>
      </c>
      <c r="O543">
        <v>4</v>
      </c>
      <c r="P543" s="1">
        <v>37705</v>
      </c>
      <c r="Q543" s="7">
        <f>INT((crimenes_cordoba_ampliado[[#This Row],[Fecha]]-crimenes_cordoba_ampliado[[#This Row],[Fecha Nac. Víctima]])/365)</f>
        <v>13</v>
      </c>
      <c r="R543" s="7" t="str">
        <f>_xlfn.XLOOKUP(crimenes_cordoba_ampliado[[#This Row],[EDAD VICTIMA]],'Rango etareo'!$A$2:$A$25,'Rango etareo'!$B$2:$B$25,,-1)</f>
        <v>&lt;=17</v>
      </c>
      <c r="S543" s="3" t="s">
        <v>22</v>
      </c>
      <c r="T543" s="3" t="str">
        <f>IF(crimenes_cordoba_ampliado[[#This Row],[Género Víctima]]="Masculino","🚹","🚺")</f>
        <v>🚹</v>
      </c>
      <c r="U543">
        <v>3</v>
      </c>
      <c r="V543" s="3" t="s">
        <v>23</v>
      </c>
      <c r="W543" s="3" t="s">
        <v>24</v>
      </c>
      <c r="X543" s="3" t="s">
        <v>24</v>
      </c>
      <c r="Y543" s="3" t="s">
        <v>69</v>
      </c>
      <c r="Z543" s="3" t="s">
        <v>25</v>
      </c>
      <c r="AA543" s="3" t="s">
        <v>23</v>
      </c>
      <c r="AB543" s="3" t="str">
        <f>IF(crimenes_cordoba_ampliado[[#This Row],[Hubo Arresto]]="Sí", "Resuelto", "Pendiente")</f>
        <v>Resuelto</v>
      </c>
      <c r="AC543" s="3" t="s">
        <v>264</v>
      </c>
      <c r="AD543" s="3"/>
    </row>
    <row r="544" spans="1:30" x14ac:dyDescent="0.25">
      <c r="A544">
        <v>808</v>
      </c>
      <c r="B544" s="1">
        <v>44062</v>
      </c>
      <c r="C544" s="33">
        <f t="shared" si="16"/>
        <v>44062</v>
      </c>
      <c r="D544" s="34">
        <f t="shared" si="17"/>
        <v>44062</v>
      </c>
      <c r="E544" s="35" t="s">
        <v>1450</v>
      </c>
      <c r="F544" s="2">
        <v>0.81666666666666665</v>
      </c>
      <c r="G544" s="3" t="s">
        <v>48</v>
      </c>
      <c r="H544" s="3" t="s">
        <v>32</v>
      </c>
      <c r="I544" s="25" t="str">
        <f>VLOOKUP(H544,Tabla5[#All],4,FALSE)</f>
        <v>-31,4148488101991, -64,1793406489438</v>
      </c>
      <c r="J544" s="1">
        <v>33829</v>
      </c>
      <c r="K544" s="7">
        <f>INT((crimenes_cordoba_ampliado[[#This Row],[Fecha]]-crimenes_cordoba_ampliado[[#This Row],[Fecha Nac. Delincuente]])/365)</f>
        <v>28</v>
      </c>
      <c r="L544" s="7" t="str">
        <f>_xlfn.XLOOKUP(crimenes_cordoba_ampliado[[#This Row],[EDAD DELINCUENTE]],'Rango etareo'!$A$10:$A$25,'Rango etareo'!$B$10:$B$25,,-1)</f>
        <v>26 - 35</v>
      </c>
      <c r="M544" s="3" t="s">
        <v>21</v>
      </c>
      <c r="N544" s="3" t="str">
        <f>IF(crimenes_cordoba_ampliado[[#This Row],[Género Delincuente]]="Femenino","🚺","🚹")</f>
        <v>🚺</v>
      </c>
      <c r="O544">
        <v>5</v>
      </c>
      <c r="P544" s="1">
        <v>26686</v>
      </c>
      <c r="Q544" s="7">
        <f>INT((crimenes_cordoba_ampliado[[#This Row],[Fecha]]-crimenes_cordoba_ampliado[[#This Row],[Fecha Nac. Víctima]])/365)</f>
        <v>47</v>
      </c>
      <c r="R544" s="7" t="str">
        <f>_xlfn.XLOOKUP(crimenes_cordoba_ampliado[[#This Row],[EDAD VICTIMA]],'Rango etareo'!$A$2:$A$25,'Rango etareo'!$B$2:$B$25,,-1)</f>
        <v>46 - 55</v>
      </c>
      <c r="S544" s="3" t="s">
        <v>22</v>
      </c>
      <c r="T544" s="3" t="str">
        <f>IF(crimenes_cordoba_ampliado[[#This Row],[Género Víctima]]="Masculino","🚹","🚺")</f>
        <v>🚹</v>
      </c>
      <c r="U544">
        <v>3</v>
      </c>
      <c r="V544" s="3" t="s">
        <v>25</v>
      </c>
      <c r="W544" s="3" t="s">
        <v>71</v>
      </c>
      <c r="X544" s="3" t="s">
        <v>24</v>
      </c>
      <c r="Y544" s="3" t="s">
        <v>64</v>
      </c>
      <c r="Z544" s="3" t="s">
        <v>25</v>
      </c>
      <c r="AA544" s="3" t="s">
        <v>23</v>
      </c>
      <c r="AB544" s="3" t="str">
        <f>IF(crimenes_cordoba_ampliado[[#This Row],[Hubo Arresto]]="Sí", "Resuelto", "Pendiente")</f>
        <v>Pendiente</v>
      </c>
      <c r="AC544" s="3" t="s">
        <v>24</v>
      </c>
      <c r="AD544" s="3"/>
    </row>
    <row r="545" spans="1:30" x14ac:dyDescent="0.25">
      <c r="A545">
        <v>538</v>
      </c>
      <c r="B545" s="1">
        <v>45245</v>
      </c>
      <c r="C545" s="33">
        <f t="shared" si="16"/>
        <v>45245</v>
      </c>
      <c r="D545" s="34">
        <f t="shared" si="17"/>
        <v>45245</v>
      </c>
      <c r="E545" s="35" t="s">
        <v>1450</v>
      </c>
      <c r="F545" s="2">
        <v>0.79166666666666663</v>
      </c>
      <c r="G545" s="3" t="s">
        <v>79</v>
      </c>
      <c r="H545" s="3" t="s">
        <v>70</v>
      </c>
      <c r="I545" s="25" t="str">
        <f>VLOOKUP(H545,Tabla5[#All],4,FALSE)</f>
        <v>-31,3759272890294, -64,2284587792478</v>
      </c>
      <c r="J545" s="1">
        <v>31512</v>
      </c>
      <c r="K545" s="7">
        <f>INT((crimenes_cordoba_ampliado[[#This Row],[Fecha]]-crimenes_cordoba_ampliado[[#This Row],[Fecha Nac. Delincuente]])/365)</f>
        <v>37</v>
      </c>
      <c r="L545" s="7" t="str">
        <f>_xlfn.XLOOKUP(crimenes_cordoba_ampliado[[#This Row],[EDAD DELINCUENTE]],'Rango etareo'!$A$10:$A$25,'Rango etareo'!$B$10:$B$25,,-1)</f>
        <v>36 - 45</v>
      </c>
      <c r="M545" s="3" t="s">
        <v>22</v>
      </c>
      <c r="N545" s="3" t="str">
        <f>IF(crimenes_cordoba_ampliado[[#This Row],[Género Delincuente]]="Femenino","🚺","🚹")</f>
        <v>🚹</v>
      </c>
      <c r="O545">
        <v>3</v>
      </c>
      <c r="P545" s="1">
        <v>28738</v>
      </c>
      <c r="Q545" s="7">
        <f>INT((crimenes_cordoba_ampliado[[#This Row],[Fecha]]-crimenes_cordoba_ampliado[[#This Row],[Fecha Nac. Víctima]])/365)</f>
        <v>45</v>
      </c>
      <c r="R545" s="7" t="str">
        <f>_xlfn.XLOOKUP(crimenes_cordoba_ampliado[[#This Row],[EDAD VICTIMA]],'Rango etareo'!$A$2:$A$25,'Rango etareo'!$B$2:$B$25,,-1)</f>
        <v>36 - 45</v>
      </c>
      <c r="S545" s="3" t="s">
        <v>21</v>
      </c>
      <c r="T545" s="3" t="str">
        <f>IF(crimenes_cordoba_ampliado[[#This Row],[Género Víctima]]="Masculino","🚹","🚺")</f>
        <v>🚺</v>
      </c>
      <c r="U545">
        <v>2</v>
      </c>
      <c r="V545" s="3" t="s">
        <v>23</v>
      </c>
      <c r="W545" s="3" t="s">
        <v>36</v>
      </c>
      <c r="X545" s="3" t="s">
        <v>41</v>
      </c>
      <c r="Y545" s="3" t="s">
        <v>24</v>
      </c>
      <c r="Z545" s="3" t="s">
        <v>25</v>
      </c>
      <c r="AA545" s="3" t="s">
        <v>23</v>
      </c>
      <c r="AB545" s="3" t="str">
        <f>IF(crimenes_cordoba_ampliado[[#This Row],[Hubo Arresto]]="Sí", "Resuelto", "Pendiente")</f>
        <v>Resuelto</v>
      </c>
      <c r="AC545" s="3" t="s">
        <v>198</v>
      </c>
      <c r="AD545" s="3"/>
    </row>
    <row r="546" spans="1:30" x14ac:dyDescent="0.25">
      <c r="A546">
        <v>194</v>
      </c>
      <c r="B546" s="1">
        <v>44075</v>
      </c>
      <c r="C546" s="33">
        <f t="shared" si="16"/>
        <v>44075</v>
      </c>
      <c r="D546" s="34">
        <f t="shared" si="17"/>
        <v>44075</v>
      </c>
      <c r="E546" s="35" t="s">
        <v>1453</v>
      </c>
      <c r="F546" s="2">
        <v>0.95625000000000004</v>
      </c>
      <c r="G546" s="3" t="s">
        <v>54</v>
      </c>
      <c r="H546" s="3" t="s">
        <v>65</v>
      </c>
      <c r="I546" s="25" t="str">
        <f>VLOOKUP(H546,Tabla5[#All],4,FALSE)</f>
        <v>-31,4285567311661, -64,1853198281007</v>
      </c>
      <c r="J546" s="1">
        <v>26549</v>
      </c>
      <c r="K546" s="7">
        <f>INT((crimenes_cordoba_ampliado[[#This Row],[Fecha]]-crimenes_cordoba_ampliado[[#This Row],[Fecha Nac. Delincuente]])/365)</f>
        <v>48</v>
      </c>
      <c r="L546" s="7" t="str">
        <f>_xlfn.XLOOKUP(crimenes_cordoba_ampliado[[#This Row],[EDAD DELINCUENTE]],'Rango etareo'!$A$10:$A$25,'Rango etareo'!$B$10:$B$25,,-1)</f>
        <v>46 - 55</v>
      </c>
      <c r="M546" s="3" t="s">
        <v>22</v>
      </c>
      <c r="N546" s="3" t="str">
        <f>IF(crimenes_cordoba_ampliado[[#This Row],[Género Delincuente]]="Femenino","🚺","🚹")</f>
        <v>🚹</v>
      </c>
      <c r="O546">
        <v>2</v>
      </c>
      <c r="P546" s="1">
        <v>29395</v>
      </c>
      <c r="Q546" s="7">
        <f>INT((crimenes_cordoba_ampliado[[#This Row],[Fecha]]-crimenes_cordoba_ampliado[[#This Row],[Fecha Nac. Víctima]])/365)</f>
        <v>40</v>
      </c>
      <c r="R546" s="7" t="str">
        <f>_xlfn.XLOOKUP(crimenes_cordoba_ampliado[[#This Row],[EDAD VICTIMA]],'Rango etareo'!$A$2:$A$25,'Rango etareo'!$B$2:$B$25,,-1)</f>
        <v>36 - 45</v>
      </c>
      <c r="S546" s="3" t="s">
        <v>22</v>
      </c>
      <c r="T546" s="3" t="str">
        <f>IF(crimenes_cordoba_ampliado[[#This Row],[Género Víctima]]="Masculino","🚹","🚺")</f>
        <v>🚹</v>
      </c>
      <c r="U546">
        <v>2</v>
      </c>
      <c r="V546" s="3" t="s">
        <v>25</v>
      </c>
      <c r="W546" s="3" t="s">
        <v>24</v>
      </c>
      <c r="X546" s="3" t="s">
        <v>24</v>
      </c>
      <c r="Y546" s="3" t="s">
        <v>53</v>
      </c>
      <c r="Z546" s="3" t="s">
        <v>23</v>
      </c>
      <c r="AA546" s="3" t="s">
        <v>25</v>
      </c>
      <c r="AB546" s="3" t="str">
        <f>IF(crimenes_cordoba_ampliado[[#This Row],[Hubo Arresto]]="Sí", "Resuelto", "Pendiente")</f>
        <v>Pendiente</v>
      </c>
      <c r="AC546" s="3" t="s">
        <v>24</v>
      </c>
      <c r="AD546" s="3"/>
    </row>
    <row r="547" spans="1:30" x14ac:dyDescent="0.25">
      <c r="A547">
        <v>38</v>
      </c>
      <c r="B547" s="1">
        <v>44077</v>
      </c>
      <c r="C547" s="33">
        <f t="shared" si="16"/>
        <v>44077</v>
      </c>
      <c r="D547" s="34">
        <f t="shared" si="17"/>
        <v>44077</v>
      </c>
      <c r="E547" s="35" t="s">
        <v>1454</v>
      </c>
      <c r="F547" s="2">
        <v>0.94305555555555554</v>
      </c>
      <c r="G547" s="3" t="s">
        <v>51</v>
      </c>
      <c r="H547" s="3" t="s">
        <v>40</v>
      </c>
      <c r="I547" s="25" t="str">
        <f>VLOOKUP(H547,Tabla5[#All],4,FALSE)</f>
        <v>-31,334500143441, -64,2460773260564</v>
      </c>
      <c r="J547" s="1">
        <v>26423</v>
      </c>
      <c r="K547" s="7">
        <f>INT((crimenes_cordoba_ampliado[[#This Row],[Fecha]]-crimenes_cordoba_ampliado[[#This Row],[Fecha Nac. Delincuente]])/365)</f>
        <v>48</v>
      </c>
      <c r="L547" s="7" t="str">
        <f>_xlfn.XLOOKUP(crimenes_cordoba_ampliado[[#This Row],[EDAD DELINCUENTE]],'Rango etareo'!$A$10:$A$25,'Rango etareo'!$B$10:$B$25,,-1)</f>
        <v>46 - 55</v>
      </c>
      <c r="M547" s="3" t="s">
        <v>21</v>
      </c>
      <c r="N547" s="3" t="str">
        <f>IF(crimenes_cordoba_ampliado[[#This Row],[Género Delincuente]]="Femenino","🚺","🚹")</f>
        <v>🚺</v>
      </c>
      <c r="O547">
        <v>3</v>
      </c>
      <c r="P547" s="1">
        <v>29055</v>
      </c>
      <c r="Q547" s="7">
        <f>INT((crimenes_cordoba_ampliado[[#This Row],[Fecha]]-crimenes_cordoba_ampliado[[#This Row],[Fecha Nac. Víctima]])/365)</f>
        <v>41</v>
      </c>
      <c r="R547" s="7" t="str">
        <f>_xlfn.XLOOKUP(crimenes_cordoba_ampliado[[#This Row],[EDAD VICTIMA]],'Rango etareo'!$A$2:$A$25,'Rango etareo'!$B$2:$B$25,,-1)</f>
        <v>36 - 45</v>
      </c>
      <c r="S547" s="3" t="s">
        <v>22</v>
      </c>
      <c r="T547" s="3" t="str">
        <f>IF(crimenes_cordoba_ampliado[[#This Row],[Género Víctima]]="Masculino","🚹","🚺")</f>
        <v>🚹</v>
      </c>
      <c r="U547">
        <v>2</v>
      </c>
      <c r="V547" s="3" t="s">
        <v>25</v>
      </c>
      <c r="W547" s="3" t="s">
        <v>36</v>
      </c>
      <c r="X547" s="3" t="s">
        <v>67</v>
      </c>
      <c r="Y547" s="3" t="s">
        <v>24</v>
      </c>
      <c r="Z547" s="3" t="s">
        <v>25</v>
      </c>
      <c r="AA547" s="3" t="s">
        <v>25</v>
      </c>
      <c r="AB547" s="3" t="str">
        <f>IF(crimenes_cordoba_ampliado[[#This Row],[Hubo Arresto]]="Sí", "Resuelto", "Pendiente")</f>
        <v>Pendiente</v>
      </c>
      <c r="AC547" s="3" t="s">
        <v>24</v>
      </c>
      <c r="AD547" s="3"/>
    </row>
    <row r="548" spans="1:30" x14ac:dyDescent="0.25">
      <c r="A548">
        <v>539</v>
      </c>
      <c r="B548" s="1">
        <v>44434</v>
      </c>
      <c r="C548" s="33">
        <f t="shared" si="16"/>
        <v>44434</v>
      </c>
      <c r="D548" s="34">
        <f t="shared" si="17"/>
        <v>44434</v>
      </c>
      <c r="E548" s="35" t="s">
        <v>1454</v>
      </c>
      <c r="F548" s="2">
        <v>0.85416666666666663</v>
      </c>
      <c r="G548" s="3" t="s">
        <v>38</v>
      </c>
      <c r="H548" s="3" t="s">
        <v>58</v>
      </c>
      <c r="I548" s="25" t="str">
        <f>VLOOKUP(H548,Tabla5[#All],4,FALSE)</f>
        <v>-31,423018915313, -64,1493562190664</v>
      </c>
      <c r="J548" s="1">
        <v>37223</v>
      </c>
      <c r="K548" s="7">
        <f>INT((crimenes_cordoba_ampliado[[#This Row],[Fecha]]-crimenes_cordoba_ampliado[[#This Row],[Fecha Nac. Delincuente]])/365)</f>
        <v>19</v>
      </c>
      <c r="L548" s="7" t="str">
        <f>_xlfn.XLOOKUP(crimenes_cordoba_ampliado[[#This Row],[EDAD DELINCUENTE]],'Rango etareo'!$A$10:$A$25,'Rango etareo'!$B$10:$B$25,,-1)</f>
        <v>18 - 25</v>
      </c>
      <c r="M548" s="3" t="s">
        <v>21</v>
      </c>
      <c r="N548" s="3" t="str">
        <f>IF(crimenes_cordoba_ampliado[[#This Row],[Género Delincuente]]="Femenino","🚺","🚹")</f>
        <v>🚺</v>
      </c>
      <c r="O548">
        <v>4</v>
      </c>
      <c r="P548" s="1">
        <v>39617</v>
      </c>
      <c r="Q548" s="7">
        <f>INT((crimenes_cordoba_ampliado[[#This Row],[Fecha]]-crimenes_cordoba_ampliado[[#This Row],[Fecha Nac. Víctima]])/365)</f>
        <v>13</v>
      </c>
      <c r="R548" s="7" t="str">
        <f>_xlfn.XLOOKUP(crimenes_cordoba_ampliado[[#This Row],[EDAD VICTIMA]],'Rango etareo'!$A$2:$A$25,'Rango etareo'!$B$2:$B$25,,-1)</f>
        <v>&lt;=17</v>
      </c>
      <c r="S548" s="3" t="s">
        <v>22</v>
      </c>
      <c r="T548" s="3" t="str">
        <f>IF(crimenes_cordoba_ampliado[[#This Row],[Género Víctima]]="Masculino","🚹","🚺")</f>
        <v>🚹</v>
      </c>
      <c r="U548">
        <v>3</v>
      </c>
      <c r="V548" s="3" t="s">
        <v>23</v>
      </c>
      <c r="W548" s="3" t="s">
        <v>36</v>
      </c>
      <c r="X548" s="3" t="s">
        <v>50</v>
      </c>
      <c r="Y548" s="3" t="s">
        <v>24</v>
      </c>
      <c r="Z548" s="3" t="s">
        <v>23</v>
      </c>
      <c r="AA548" s="3" t="s">
        <v>23</v>
      </c>
      <c r="AB548" s="3" t="str">
        <f>IF(crimenes_cordoba_ampliado[[#This Row],[Hubo Arresto]]="Sí", "Resuelto", "Pendiente")</f>
        <v>Resuelto</v>
      </c>
      <c r="AC548" s="3" t="s">
        <v>216</v>
      </c>
      <c r="AD548" s="3"/>
    </row>
    <row r="549" spans="1:30" x14ac:dyDescent="0.25">
      <c r="A549">
        <v>541</v>
      </c>
      <c r="B549" s="1">
        <v>42775</v>
      </c>
      <c r="C549" s="33">
        <f t="shared" si="16"/>
        <v>42775</v>
      </c>
      <c r="D549" s="34">
        <f t="shared" si="17"/>
        <v>42775</v>
      </c>
      <c r="E549" s="35" t="s">
        <v>1454</v>
      </c>
      <c r="F549" s="2">
        <v>0.75763888888888886</v>
      </c>
      <c r="G549" s="3" t="s">
        <v>51</v>
      </c>
      <c r="H549" s="3" t="s">
        <v>40</v>
      </c>
      <c r="I549" s="25" t="str">
        <f>VLOOKUP(H549,Tabla5[#All],4,FALSE)</f>
        <v>-31,334500143441, -64,2460773260564</v>
      </c>
      <c r="J549" s="1">
        <v>23281</v>
      </c>
      <c r="K549" s="7">
        <f>INT((crimenes_cordoba_ampliado[[#This Row],[Fecha]]-crimenes_cordoba_ampliado[[#This Row],[Fecha Nac. Delincuente]])/365)</f>
        <v>53</v>
      </c>
      <c r="L549" s="7" t="str">
        <f>_xlfn.XLOOKUP(crimenes_cordoba_ampliado[[#This Row],[EDAD DELINCUENTE]],'Rango etareo'!$A$10:$A$25,'Rango etareo'!$B$10:$B$25,,-1)</f>
        <v>46 - 55</v>
      </c>
      <c r="M549" s="3" t="s">
        <v>22</v>
      </c>
      <c r="N549" s="3" t="str">
        <f>IF(crimenes_cordoba_ampliado[[#This Row],[Género Delincuente]]="Femenino","🚺","🚹")</f>
        <v>🚹</v>
      </c>
      <c r="O549">
        <v>3</v>
      </c>
      <c r="P549" s="1">
        <v>27795</v>
      </c>
      <c r="Q549" s="7">
        <f>INT((crimenes_cordoba_ampliado[[#This Row],[Fecha]]-crimenes_cordoba_ampliado[[#This Row],[Fecha Nac. Víctima]])/365)</f>
        <v>41</v>
      </c>
      <c r="R549" s="7" t="str">
        <f>_xlfn.XLOOKUP(crimenes_cordoba_ampliado[[#This Row],[EDAD VICTIMA]],'Rango etareo'!$A$2:$A$25,'Rango etareo'!$B$2:$B$25,,-1)</f>
        <v>36 - 45</v>
      </c>
      <c r="S549" s="3" t="s">
        <v>22</v>
      </c>
      <c r="T549" s="3" t="str">
        <f>IF(crimenes_cordoba_ampliado[[#This Row],[Género Víctima]]="Masculino","🚹","🚺")</f>
        <v>🚹</v>
      </c>
      <c r="U549">
        <v>1</v>
      </c>
      <c r="V549" s="3" t="s">
        <v>23</v>
      </c>
      <c r="W549" s="3" t="s">
        <v>83</v>
      </c>
      <c r="X549" s="3" t="s">
        <v>67</v>
      </c>
      <c r="Y549" s="3" t="s">
        <v>24</v>
      </c>
      <c r="Z549" s="3" t="s">
        <v>25</v>
      </c>
      <c r="AA549" s="3" t="s">
        <v>25</v>
      </c>
      <c r="AB549" s="3" t="str">
        <f>IF(crimenes_cordoba_ampliado[[#This Row],[Hubo Arresto]]="Sí", "Resuelto", "Pendiente")</f>
        <v>Resuelto</v>
      </c>
      <c r="AC549" s="3" t="s">
        <v>265</v>
      </c>
      <c r="AD549" s="3"/>
    </row>
    <row r="550" spans="1:30" x14ac:dyDescent="0.25">
      <c r="A550">
        <v>831</v>
      </c>
      <c r="B550" s="1">
        <v>44077</v>
      </c>
      <c r="C550" s="33">
        <f t="shared" si="16"/>
        <v>44077</v>
      </c>
      <c r="D550" s="34">
        <f t="shared" si="17"/>
        <v>44077</v>
      </c>
      <c r="E550" s="35" t="s">
        <v>1454</v>
      </c>
      <c r="F550" s="2">
        <v>0.67083333333333328</v>
      </c>
      <c r="G550" s="3" t="s">
        <v>48</v>
      </c>
      <c r="H550" s="3" t="s">
        <v>28</v>
      </c>
      <c r="I550" s="25" t="str">
        <f>VLOOKUP(H550,Tabla5[#All],4,FALSE)</f>
        <v>-31,4129883640337, -64,1681120522587</v>
      </c>
      <c r="J550" s="1">
        <v>23122</v>
      </c>
      <c r="K550" s="7">
        <f>INT((crimenes_cordoba_ampliado[[#This Row],[Fecha]]-crimenes_cordoba_ampliado[[#This Row],[Fecha Nac. Delincuente]])/365)</f>
        <v>57</v>
      </c>
      <c r="L550" s="7" t="str">
        <f>_xlfn.XLOOKUP(crimenes_cordoba_ampliado[[#This Row],[EDAD DELINCUENTE]],'Rango etareo'!$A$10:$A$25,'Rango etareo'!$B$10:$B$25,,-1)</f>
        <v>56 - 65</v>
      </c>
      <c r="M550" s="3" t="s">
        <v>22</v>
      </c>
      <c r="N550" s="3" t="str">
        <f>IF(crimenes_cordoba_ampliado[[#This Row],[Género Delincuente]]="Femenino","🚺","🚹")</f>
        <v>🚹</v>
      </c>
      <c r="O550">
        <v>4</v>
      </c>
      <c r="P550" s="1">
        <v>26258</v>
      </c>
      <c r="Q550" s="7">
        <f>INT((crimenes_cordoba_ampliado[[#This Row],[Fecha]]-crimenes_cordoba_ampliado[[#This Row],[Fecha Nac. Víctima]])/365)</f>
        <v>48</v>
      </c>
      <c r="R550" s="7" t="str">
        <f>_xlfn.XLOOKUP(crimenes_cordoba_ampliado[[#This Row],[EDAD VICTIMA]],'Rango etareo'!$A$2:$A$25,'Rango etareo'!$B$2:$B$25,,-1)</f>
        <v>46 - 55</v>
      </c>
      <c r="S550" s="3" t="s">
        <v>22</v>
      </c>
      <c r="T550" s="3" t="str">
        <f>IF(crimenes_cordoba_ampliado[[#This Row],[Género Víctima]]="Masculino","🚹","🚺")</f>
        <v>🚹</v>
      </c>
      <c r="U550">
        <v>3</v>
      </c>
      <c r="V550" s="3" t="s">
        <v>25</v>
      </c>
      <c r="W550" s="3" t="s">
        <v>24</v>
      </c>
      <c r="X550" s="3" t="s">
        <v>50</v>
      </c>
      <c r="Y550" s="3" t="s">
        <v>24</v>
      </c>
      <c r="Z550" s="3" t="s">
        <v>25</v>
      </c>
      <c r="AA550" s="3" t="s">
        <v>25</v>
      </c>
      <c r="AB550" s="3" t="str">
        <f>IF(crimenes_cordoba_ampliado[[#This Row],[Hubo Arresto]]="Sí", "Resuelto", "Pendiente")</f>
        <v>Pendiente</v>
      </c>
      <c r="AC550" s="3" t="s">
        <v>24</v>
      </c>
      <c r="AD550" s="3"/>
    </row>
    <row r="551" spans="1:30" x14ac:dyDescent="0.25">
      <c r="A551">
        <v>22</v>
      </c>
      <c r="B551" s="1">
        <v>44086</v>
      </c>
      <c r="C551" s="33">
        <f t="shared" si="16"/>
        <v>44086</v>
      </c>
      <c r="D551" s="34">
        <f t="shared" si="17"/>
        <v>44086</v>
      </c>
      <c r="E551" s="35" t="s">
        <v>1451</v>
      </c>
      <c r="F551" s="2">
        <v>0.58958333333333335</v>
      </c>
      <c r="G551" s="3" t="s">
        <v>51</v>
      </c>
      <c r="H551" s="3" t="s">
        <v>49</v>
      </c>
      <c r="I551" s="25" t="str">
        <f>VLOOKUP(H551,Tabla5[#All],4,FALSE)</f>
        <v>-31,4506257494184, -64,1733054344705</v>
      </c>
      <c r="J551" s="1">
        <v>37708</v>
      </c>
      <c r="K551" s="7">
        <f>INT((crimenes_cordoba_ampliado[[#This Row],[Fecha]]-crimenes_cordoba_ampliado[[#This Row],[Fecha Nac. Delincuente]])/365)</f>
        <v>17</v>
      </c>
      <c r="L551" s="7" t="str">
        <f>_xlfn.XLOOKUP(crimenes_cordoba_ampliado[[#This Row],[EDAD DELINCUENTE]],'Rango etareo'!$A$10:$A$25,'Rango etareo'!$B$10:$B$25,,-1)</f>
        <v>&lt;=17</v>
      </c>
      <c r="M551" s="3" t="s">
        <v>22</v>
      </c>
      <c r="N551" s="3" t="str">
        <f>IF(crimenes_cordoba_ampliado[[#This Row],[Género Delincuente]]="Femenino","🚺","🚹")</f>
        <v>🚹</v>
      </c>
      <c r="O551">
        <v>3</v>
      </c>
      <c r="P551" s="1">
        <v>37399</v>
      </c>
      <c r="Q551" s="7">
        <f>INT((crimenes_cordoba_ampliado[[#This Row],[Fecha]]-crimenes_cordoba_ampliado[[#This Row],[Fecha Nac. Víctima]])/365)</f>
        <v>18</v>
      </c>
      <c r="R551" s="7" t="str">
        <f>_xlfn.XLOOKUP(crimenes_cordoba_ampliado[[#This Row],[EDAD VICTIMA]],'Rango etareo'!$A$2:$A$25,'Rango etareo'!$B$2:$B$25,,-1)</f>
        <v>18 - 25</v>
      </c>
      <c r="S551" s="3" t="s">
        <v>22</v>
      </c>
      <c r="T551" s="3" t="str">
        <f>IF(crimenes_cordoba_ampliado[[#This Row],[Género Víctima]]="Masculino","🚹","🚺")</f>
        <v>🚹</v>
      </c>
      <c r="U551">
        <v>1</v>
      </c>
      <c r="V551" s="3" t="s">
        <v>25</v>
      </c>
      <c r="W551" s="3" t="s">
        <v>24</v>
      </c>
      <c r="X551" s="3" t="s">
        <v>24</v>
      </c>
      <c r="Y551" s="3" t="s">
        <v>39</v>
      </c>
      <c r="Z551" s="3" t="s">
        <v>23</v>
      </c>
      <c r="AA551" s="3" t="s">
        <v>23</v>
      </c>
      <c r="AB551" s="3" t="str">
        <f>IF(crimenes_cordoba_ampliado[[#This Row],[Hubo Arresto]]="Sí", "Resuelto", "Pendiente")</f>
        <v>Pendiente</v>
      </c>
      <c r="AC551" s="3" t="s">
        <v>24</v>
      </c>
      <c r="AD551" s="3"/>
    </row>
    <row r="552" spans="1:30" x14ac:dyDescent="0.25">
      <c r="A552">
        <v>542</v>
      </c>
      <c r="B552" s="1">
        <v>44988</v>
      </c>
      <c r="C552" s="33">
        <f t="shared" si="16"/>
        <v>44988</v>
      </c>
      <c r="D552" s="34">
        <f t="shared" si="17"/>
        <v>44988</v>
      </c>
      <c r="E552" s="35" t="s">
        <v>1455</v>
      </c>
      <c r="F552" s="2">
        <v>0.80555555555555558</v>
      </c>
      <c r="G552" s="3" t="s">
        <v>51</v>
      </c>
      <c r="H552" s="3" t="s">
        <v>28</v>
      </c>
      <c r="I552" s="25" t="str">
        <f>VLOOKUP(H552,Tabla5[#All],4,FALSE)</f>
        <v>-31,4129883640337, -64,1681120522587</v>
      </c>
      <c r="J552" s="1">
        <v>25905</v>
      </c>
      <c r="K552" s="7">
        <f>INT((crimenes_cordoba_ampliado[[#This Row],[Fecha]]-crimenes_cordoba_ampliado[[#This Row],[Fecha Nac. Delincuente]])/365)</f>
        <v>52</v>
      </c>
      <c r="L552" s="7" t="str">
        <f>_xlfn.XLOOKUP(crimenes_cordoba_ampliado[[#This Row],[EDAD DELINCUENTE]],'Rango etareo'!$A$10:$A$25,'Rango etareo'!$B$10:$B$25,,-1)</f>
        <v>46 - 55</v>
      </c>
      <c r="M552" s="3" t="s">
        <v>21</v>
      </c>
      <c r="N552" s="3" t="str">
        <f>IF(crimenes_cordoba_ampliado[[#This Row],[Género Delincuente]]="Femenino","🚺","🚹")</f>
        <v>🚺</v>
      </c>
      <c r="O552">
        <v>1</v>
      </c>
      <c r="P552" s="1">
        <v>27294</v>
      </c>
      <c r="Q552" s="7">
        <f>INT((crimenes_cordoba_ampliado[[#This Row],[Fecha]]-crimenes_cordoba_ampliado[[#This Row],[Fecha Nac. Víctima]])/365)</f>
        <v>48</v>
      </c>
      <c r="R552" s="7" t="str">
        <f>_xlfn.XLOOKUP(crimenes_cordoba_ampliado[[#This Row],[EDAD VICTIMA]],'Rango etareo'!$A$2:$A$25,'Rango etareo'!$B$2:$B$25,,-1)</f>
        <v>46 - 55</v>
      </c>
      <c r="S552" s="3" t="s">
        <v>21</v>
      </c>
      <c r="T552" s="3" t="str">
        <f>IF(crimenes_cordoba_ampliado[[#This Row],[Género Víctima]]="Masculino","🚹","🚺")</f>
        <v>🚺</v>
      </c>
      <c r="U552">
        <v>1</v>
      </c>
      <c r="V552" s="3" t="s">
        <v>23</v>
      </c>
      <c r="W552" s="3" t="s">
        <v>71</v>
      </c>
      <c r="X552" s="3" t="s">
        <v>41</v>
      </c>
      <c r="Y552" s="3" t="s">
        <v>24</v>
      </c>
      <c r="Z552" s="3" t="s">
        <v>25</v>
      </c>
      <c r="AA552" s="3" t="s">
        <v>25</v>
      </c>
      <c r="AB552" s="3" t="str">
        <f>IF(crimenes_cordoba_ampliado[[#This Row],[Hubo Arresto]]="Sí", "Resuelto", "Pendiente")</f>
        <v>Resuelto</v>
      </c>
      <c r="AC552" s="3" t="s">
        <v>73</v>
      </c>
      <c r="AD552" s="3"/>
    </row>
    <row r="553" spans="1:30" x14ac:dyDescent="0.25">
      <c r="A553">
        <v>543</v>
      </c>
      <c r="B553" s="1">
        <v>43582</v>
      </c>
      <c r="C553" s="33">
        <f t="shared" si="16"/>
        <v>43582</v>
      </c>
      <c r="D553" s="34">
        <f t="shared" si="17"/>
        <v>43582</v>
      </c>
      <c r="E553" s="35" t="s">
        <v>1451</v>
      </c>
      <c r="F553" s="2">
        <v>0.67291666666666672</v>
      </c>
      <c r="G553" s="3" t="s">
        <v>81</v>
      </c>
      <c r="H553" s="3" t="s">
        <v>40</v>
      </c>
      <c r="I553" s="25" t="str">
        <f>VLOOKUP(H553,Tabla5[#All],4,FALSE)</f>
        <v>-31,334500143441, -64,2460773260564</v>
      </c>
      <c r="J553" s="1">
        <v>19141</v>
      </c>
      <c r="K553" s="7">
        <f>INT((crimenes_cordoba_ampliado[[#This Row],[Fecha]]-crimenes_cordoba_ampliado[[#This Row],[Fecha Nac. Delincuente]])/365)</f>
        <v>66</v>
      </c>
      <c r="L553" s="7" t="str">
        <f>_xlfn.XLOOKUP(crimenes_cordoba_ampliado[[#This Row],[EDAD DELINCUENTE]],'Rango etareo'!$A$10:$A$25,'Rango etareo'!$B$10:$B$25,,-1)</f>
        <v>&gt;65</v>
      </c>
      <c r="M553" s="3" t="s">
        <v>21</v>
      </c>
      <c r="N553" s="3" t="str">
        <f>IF(crimenes_cordoba_ampliado[[#This Row],[Género Delincuente]]="Femenino","🚺","🚹")</f>
        <v>🚺</v>
      </c>
      <c r="O553">
        <v>1</v>
      </c>
      <c r="P553" s="1">
        <v>30422</v>
      </c>
      <c r="Q553" s="7">
        <f>INT((crimenes_cordoba_ampliado[[#This Row],[Fecha]]-crimenes_cordoba_ampliado[[#This Row],[Fecha Nac. Víctima]])/365)</f>
        <v>36</v>
      </c>
      <c r="R553" s="7" t="str">
        <f>_xlfn.XLOOKUP(crimenes_cordoba_ampliado[[#This Row],[EDAD VICTIMA]],'Rango etareo'!$A$2:$A$25,'Rango etareo'!$B$2:$B$25,,-1)</f>
        <v>36 - 45</v>
      </c>
      <c r="S553" s="3" t="s">
        <v>22</v>
      </c>
      <c r="T553" s="3" t="str">
        <f>IF(crimenes_cordoba_ampliado[[#This Row],[Género Víctima]]="Masculino","🚹","🚺")</f>
        <v>🚹</v>
      </c>
      <c r="U553">
        <v>2</v>
      </c>
      <c r="V553" s="3" t="s">
        <v>23</v>
      </c>
      <c r="W553" s="3" t="s">
        <v>24</v>
      </c>
      <c r="X553" s="3" t="s">
        <v>24</v>
      </c>
      <c r="Y553" s="3" t="s">
        <v>39</v>
      </c>
      <c r="Z553" s="3" t="s">
        <v>25</v>
      </c>
      <c r="AA553" s="3" t="s">
        <v>23</v>
      </c>
      <c r="AB553" s="3" t="str">
        <f>IF(crimenes_cordoba_ampliado[[#This Row],[Hubo Arresto]]="Sí", "Resuelto", "Pendiente")</f>
        <v>Resuelto</v>
      </c>
      <c r="AC553" s="3" t="s">
        <v>266</v>
      </c>
      <c r="AD553" s="3"/>
    </row>
    <row r="554" spans="1:30" x14ac:dyDescent="0.25">
      <c r="A554">
        <v>544</v>
      </c>
      <c r="B554" s="1">
        <v>43123</v>
      </c>
      <c r="C554" s="33">
        <f t="shared" si="16"/>
        <v>43123</v>
      </c>
      <c r="D554" s="34">
        <f t="shared" si="17"/>
        <v>43123</v>
      </c>
      <c r="E554" s="35" t="s">
        <v>1453</v>
      </c>
      <c r="F554" s="2">
        <v>0.32430555555555557</v>
      </c>
      <c r="G554" s="3" t="s">
        <v>81</v>
      </c>
      <c r="H554" s="3" t="s">
        <v>52</v>
      </c>
      <c r="I554" s="25" t="str">
        <f>VLOOKUP(H554,Tabla5[#All],4,FALSE)</f>
        <v>-31,3477902896523, -64,2644406169297</v>
      </c>
      <c r="J554" s="1">
        <v>30818</v>
      </c>
      <c r="K554" s="7">
        <f>INT((crimenes_cordoba_ampliado[[#This Row],[Fecha]]-crimenes_cordoba_ampliado[[#This Row],[Fecha Nac. Delincuente]])/365)</f>
        <v>33</v>
      </c>
      <c r="L554" s="7" t="str">
        <f>_xlfn.XLOOKUP(crimenes_cordoba_ampliado[[#This Row],[EDAD DELINCUENTE]],'Rango etareo'!$A$10:$A$25,'Rango etareo'!$B$10:$B$25,,-1)</f>
        <v>26 - 35</v>
      </c>
      <c r="M554" s="3" t="s">
        <v>21</v>
      </c>
      <c r="N554" s="3" t="str">
        <f>IF(crimenes_cordoba_ampliado[[#This Row],[Género Delincuente]]="Femenino","🚺","🚹")</f>
        <v>🚺</v>
      </c>
      <c r="O554">
        <v>5</v>
      </c>
      <c r="P554" s="1">
        <v>20857</v>
      </c>
      <c r="Q554" s="7">
        <f>INT((crimenes_cordoba_ampliado[[#This Row],[Fecha]]-crimenes_cordoba_ampliado[[#This Row],[Fecha Nac. Víctima]])/365)</f>
        <v>61</v>
      </c>
      <c r="R554" s="7" t="str">
        <f>_xlfn.XLOOKUP(crimenes_cordoba_ampliado[[#This Row],[EDAD VICTIMA]],'Rango etareo'!$A$2:$A$25,'Rango etareo'!$B$2:$B$25,,-1)</f>
        <v>56 - 65</v>
      </c>
      <c r="S554" s="3" t="s">
        <v>22</v>
      </c>
      <c r="T554" s="3" t="str">
        <f>IF(crimenes_cordoba_ampliado[[#This Row],[Género Víctima]]="Masculino","🚹","🚺")</f>
        <v>🚹</v>
      </c>
      <c r="U554">
        <v>3</v>
      </c>
      <c r="V554" s="3" t="s">
        <v>23</v>
      </c>
      <c r="W554" s="3" t="s">
        <v>24</v>
      </c>
      <c r="X554" s="3" t="s">
        <v>24</v>
      </c>
      <c r="Y554" s="3" t="s">
        <v>86</v>
      </c>
      <c r="Z554" s="3" t="s">
        <v>23</v>
      </c>
      <c r="AA554" s="3" t="s">
        <v>25</v>
      </c>
      <c r="AB554" s="3" t="str">
        <f>IF(crimenes_cordoba_ampliado[[#This Row],[Hubo Arresto]]="Sí", "Resuelto", "Pendiente")</f>
        <v>Resuelto</v>
      </c>
      <c r="AC554" s="3" t="s">
        <v>267</v>
      </c>
      <c r="AD554" s="3"/>
    </row>
    <row r="555" spans="1:30" x14ac:dyDescent="0.25">
      <c r="A555">
        <v>380</v>
      </c>
      <c r="B555" s="1">
        <v>44120</v>
      </c>
      <c r="C555" s="33">
        <f t="shared" si="16"/>
        <v>44120</v>
      </c>
      <c r="D555" s="34">
        <f t="shared" si="17"/>
        <v>44120</v>
      </c>
      <c r="E555" s="35" t="s">
        <v>1455</v>
      </c>
      <c r="F555" s="2">
        <v>0.43472222222222223</v>
      </c>
      <c r="G555" s="3" t="s">
        <v>38</v>
      </c>
      <c r="H555" s="3" t="s">
        <v>32</v>
      </c>
      <c r="I555" s="25" t="str">
        <f>VLOOKUP(H555,Tabla5[#All],4,FALSE)</f>
        <v>-31,4148488101991, -64,1793406489438</v>
      </c>
      <c r="J555" s="1">
        <v>38722</v>
      </c>
      <c r="K555" s="7">
        <f>INT((crimenes_cordoba_ampliado[[#This Row],[Fecha]]-crimenes_cordoba_ampliado[[#This Row],[Fecha Nac. Delincuente]])/365)</f>
        <v>14</v>
      </c>
      <c r="L555" s="7" t="str">
        <f>_xlfn.XLOOKUP(crimenes_cordoba_ampliado[[#This Row],[EDAD DELINCUENTE]],'Rango etareo'!$A$10:$A$25,'Rango etareo'!$B$10:$B$25,,-1)</f>
        <v>&lt;=17</v>
      </c>
      <c r="M555" s="3" t="s">
        <v>21</v>
      </c>
      <c r="N555" s="3" t="str">
        <f>IF(crimenes_cordoba_ampliado[[#This Row],[Género Delincuente]]="Femenino","🚺","🚹")</f>
        <v>🚺</v>
      </c>
      <c r="O555">
        <v>4</v>
      </c>
      <c r="P555" s="1">
        <v>34529</v>
      </c>
      <c r="Q555" s="7">
        <f>INT((crimenes_cordoba_ampliado[[#This Row],[Fecha]]-crimenes_cordoba_ampliado[[#This Row],[Fecha Nac. Víctima]])/365)</f>
        <v>26</v>
      </c>
      <c r="R555" s="7" t="str">
        <f>_xlfn.XLOOKUP(crimenes_cordoba_ampliado[[#This Row],[EDAD VICTIMA]],'Rango etareo'!$A$2:$A$25,'Rango etareo'!$B$2:$B$25,,-1)</f>
        <v>26 - 35</v>
      </c>
      <c r="S555" s="3" t="s">
        <v>22</v>
      </c>
      <c r="T555" s="3" t="str">
        <f>IF(crimenes_cordoba_ampliado[[#This Row],[Género Víctima]]="Masculino","🚹","🚺")</f>
        <v>🚹</v>
      </c>
      <c r="U555">
        <v>1</v>
      </c>
      <c r="V555" s="3" t="s">
        <v>25</v>
      </c>
      <c r="W555" s="3" t="s">
        <v>24</v>
      </c>
      <c r="X555" s="3" t="s">
        <v>24</v>
      </c>
      <c r="Y555" s="3" t="s">
        <v>69</v>
      </c>
      <c r="Z555" s="3" t="s">
        <v>25</v>
      </c>
      <c r="AA555" s="3" t="s">
        <v>23</v>
      </c>
      <c r="AB555" s="3" t="str">
        <f>IF(crimenes_cordoba_ampliado[[#This Row],[Hubo Arresto]]="Sí", "Resuelto", "Pendiente")</f>
        <v>Pendiente</v>
      </c>
      <c r="AC555" s="3" t="s">
        <v>24</v>
      </c>
      <c r="AD555" s="3"/>
    </row>
    <row r="556" spans="1:30" x14ac:dyDescent="0.25">
      <c r="A556">
        <v>547</v>
      </c>
      <c r="B556" s="1">
        <v>44603</v>
      </c>
      <c r="C556" s="33">
        <f t="shared" si="16"/>
        <v>44603</v>
      </c>
      <c r="D556" s="34">
        <f t="shared" si="17"/>
        <v>44603</v>
      </c>
      <c r="E556" s="35" t="s">
        <v>1455</v>
      </c>
      <c r="F556" s="2">
        <v>0.9555555555555556</v>
      </c>
      <c r="G556" s="3" t="s">
        <v>19</v>
      </c>
      <c r="H556" s="3" t="s">
        <v>55</v>
      </c>
      <c r="I556" s="25" t="str">
        <f>VLOOKUP(H556,Tabla5[#All],4,FALSE)</f>
        <v>-31,4015892433235, -64,160442876477</v>
      </c>
      <c r="J556" s="1">
        <v>38956</v>
      </c>
      <c r="K556" s="7">
        <f>INT((crimenes_cordoba_ampliado[[#This Row],[Fecha]]-crimenes_cordoba_ampliado[[#This Row],[Fecha Nac. Delincuente]])/365)</f>
        <v>15</v>
      </c>
      <c r="L556" s="7" t="str">
        <f>_xlfn.XLOOKUP(crimenes_cordoba_ampliado[[#This Row],[EDAD DELINCUENTE]],'Rango etareo'!$A$10:$A$25,'Rango etareo'!$B$10:$B$25,,-1)</f>
        <v>&lt;=17</v>
      </c>
      <c r="M556" s="3" t="s">
        <v>21</v>
      </c>
      <c r="N556" s="3" t="str">
        <f>IF(crimenes_cordoba_ampliado[[#This Row],[Género Delincuente]]="Femenino","🚺","🚹")</f>
        <v>🚺</v>
      </c>
      <c r="O556">
        <v>1</v>
      </c>
      <c r="P556" s="1">
        <v>39683</v>
      </c>
      <c r="Q556" s="7">
        <f>INT((crimenes_cordoba_ampliado[[#This Row],[Fecha]]-crimenes_cordoba_ampliado[[#This Row],[Fecha Nac. Víctima]])/365)</f>
        <v>13</v>
      </c>
      <c r="R556" s="7" t="str">
        <f>_xlfn.XLOOKUP(crimenes_cordoba_ampliado[[#This Row],[EDAD VICTIMA]],'Rango etareo'!$A$2:$A$25,'Rango etareo'!$B$2:$B$25,,-1)</f>
        <v>&lt;=17</v>
      </c>
      <c r="S556" s="3" t="s">
        <v>21</v>
      </c>
      <c r="T556" s="3" t="str">
        <f>IF(crimenes_cordoba_ampliado[[#This Row],[Género Víctima]]="Masculino","🚹","🚺")</f>
        <v>🚺</v>
      </c>
      <c r="U556">
        <v>1</v>
      </c>
      <c r="V556" s="3" t="s">
        <v>23</v>
      </c>
      <c r="W556" s="3" t="s">
        <v>63</v>
      </c>
      <c r="X556" s="3" t="s">
        <v>24</v>
      </c>
      <c r="Y556" s="3" t="s">
        <v>64</v>
      </c>
      <c r="Z556" s="3" t="s">
        <v>25</v>
      </c>
      <c r="AA556" s="3" t="s">
        <v>25</v>
      </c>
      <c r="AB556" s="3" t="str">
        <f>IF(crimenes_cordoba_ampliado[[#This Row],[Hubo Arresto]]="Sí", "Resuelto", "Pendiente")</f>
        <v>Resuelto</v>
      </c>
      <c r="AC556" s="3" t="s">
        <v>127</v>
      </c>
      <c r="AD556" s="3"/>
    </row>
    <row r="557" spans="1:30" x14ac:dyDescent="0.25">
      <c r="A557">
        <v>550</v>
      </c>
      <c r="B557" s="1">
        <v>45394</v>
      </c>
      <c r="C557" s="33">
        <f t="shared" si="16"/>
        <v>45394</v>
      </c>
      <c r="D557" s="34">
        <f t="shared" si="17"/>
        <v>45394</v>
      </c>
      <c r="E557" s="35" t="s">
        <v>1455</v>
      </c>
      <c r="F557" s="2">
        <v>0.90416666666666667</v>
      </c>
      <c r="G557" s="3" t="s">
        <v>19</v>
      </c>
      <c r="H557" s="3" t="s">
        <v>32</v>
      </c>
      <c r="I557" s="25" t="str">
        <f>VLOOKUP(H557,Tabla5[#All],4,FALSE)</f>
        <v>-31,4148488101991, -64,1793406489438</v>
      </c>
      <c r="J557" s="1">
        <v>32612</v>
      </c>
      <c r="K557" s="7">
        <f>INT((crimenes_cordoba_ampliado[[#This Row],[Fecha]]-crimenes_cordoba_ampliado[[#This Row],[Fecha Nac. Delincuente]])/365)</f>
        <v>35</v>
      </c>
      <c r="L557" s="7" t="str">
        <f>_xlfn.XLOOKUP(crimenes_cordoba_ampliado[[#This Row],[EDAD DELINCUENTE]],'Rango etareo'!$A$10:$A$25,'Rango etareo'!$B$10:$B$25,,-1)</f>
        <v>26 - 35</v>
      </c>
      <c r="M557" s="3" t="s">
        <v>21</v>
      </c>
      <c r="N557" s="3" t="str">
        <f>IF(crimenes_cordoba_ampliado[[#This Row],[Género Delincuente]]="Femenino","🚺","🚹")</f>
        <v>🚺</v>
      </c>
      <c r="O557">
        <v>5</v>
      </c>
      <c r="P557" s="1">
        <v>17276</v>
      </c>
      <c r="Q557" s="7">
        <f>INT((crimenes_cordoba_ampliado[[#This Row],[Fecha]]-crimenes_cordoba_ampliado[[#This Row],[Fecha Nac. Víctima]])/365)</f>
        <v>77</v>
      </c>
      <c r="R557" s="7" t="str">
        <f>_xlfn.XLOOKUP(crimenes_cordoba_ampliado[[#This Row],[EDAD VICTIMA]],'Rango etareo'!$A$2:$A$25,'Rango etareo'!$B$2:$B$25,,-1)</f>
        <v>&gt;65</v>
      </c>
      <c r="S557" s="3" t="s">
        <v>21</v>
      </c>
      <c r="T557" s="3" t="str">
        <f>IF(crimenes_cordoba_ampliado[[#This Row],[Género Víctima]]="Masculino","🚹","🚺")</f>
        <v>🚺</v>
      </c>
      <c r="U557">
        <v>3</v>
      </c>
      <c r="V557" s="3" t="s">
        <v>23</v>
      </c>
      <c r="W557" s="3" t="s">
        <v>24</v>
      </c>
      <c r="X557" s="3" t="s">
        <v>24</v>
      </c>
      <c r="Y557" s="3" t="s">
        <v>80</v>
      </c>
      <c r="Z557" s="3" t="s">
        <v>25</v>
      </c>
      <c r="AA557" s="3" t="s">
        <v>25</v>
      </c>
      <c r="AB557" s="3" t="str">
        <f>IF(crimenes_cordoba_ampliado[[#This Row],[Hubo Arresto]]="Sí", "Resuelto", "Pendiente")</f>
        <v>Resuelto</v>
      </c>
      <c r="AC557" s="3" t="s">
        <v>171</v>
      </c>
      <c r="AD557" s="3"/>
    </row>
    <row r="558" spans="1:30" x14ac:dyDescent="0.25">
      <c r="A558">
        <v>551</v>
      </c>
      <c r="B558" s="1">
        <v>42356</v>
      </c>
      <c r="C558" s="33">
        <f t="shared" si="16"/>
        <v>42356</v>
      </c>
      <c r="D558" s="34">
        <f t="shared" si="17"/>
        <v>42356</v>
      </c>
      <c r="E558" s="35" t="s">
        <v>1455</v>
      </c>
      <c r="F558" s="2">
        <v>0.54166666666666663</v>
      </c>
      <c r="G558" s="3" t="s">
        <v>42</v>
      </c>
      <c r="H558" s="3" t="s">
        <v>55</v>
      </c>
      <c r="I558" s="25" t="str">
        <f>VLOOKUP(H558,Tabla5[#All],4,FALSE)</f>
        <v>-31,4015892433235, -64,160442876477</v>
      </c>
      <c r="J558" s="1">
        <v>25741</v>
      </c>
      <c r="K558" s="7">
        <f>INT((crimenes_cordoba_ampliado[[#This Row],[Fecha]]-crimenes_cordoba_ampliado[[#This Row],[Fecha Nac. Delincuente]])/365)</f>
        <v>45</v>
      </c>
      <c r="L558" s="7" t="str">
        <f>_xlfn.XLOOKUP(crimenes_cordoba_ampliado[[#This Row],[EDAD DELINCUENTE]],'Rango etareo'!$A$10:$A$25,'Rango etareo'!$B$10:$B$25,,-1)</f>
        <v>36 - 45</v>
      </c>
      <c r="M558" s="3" t="s">
        <v>21</v>
      </c>
      <c r="N558" s="3" t="str">
        <f>IF(crimenes_cordoba_ampliado[[#This Row],[Género Delincuente]]="Femenino","🚺","🚹")</f>
        <v>🚺</v>
      </c>
      <c r="O558">
        <v>3</v>
      </c>
      <c r="P558" s="1">
        <v>31207</v>
      </c>
      <c r="Q558" s="7">
        <f>INT((crimenes_cordoba_ampliado[[#This Row],[Fecha]]-crimenes_cordoba_ampliado[[#This Row],[Fecha Nac. Víctima]])/365)</f>
        <v>30</v>
      </c>
      <c r="R558" s="7" t="str">
        <f>_xlfn.XLOOKUP(crimenes_cordoba_ampliado[[#This Row],[EDAD VICTIMA]],'Rango etareo'!$A$2:$A$25,'Rango etareo'!$B$2:$B$25,,-1)</f>
        <v>26 - 35</v>
      </c>
      <c r="S558" s="3" t="s">
        <v>22</v>
      </c>
      <c r="T558" s="3" t="str">
        <f>IF(crimenes_cordoba_ampliado[[#This Row],[Género Víctima]]="Masculino","🚹","🚺")</f>
        <v>🚹</v>
      </c>
      <c r="U558">
        <v>2</v>
      </c>
      <c r="V558" s="3" t="s">
        <v>23</v>
      </c>
      <c r="W558" s="3" t="s">
        <v>24</v>
      </c>
      <c r="X558" s="3" t="s">
        <v>50</v>
      </c>
      <c r="Y558" s="3" t="s">
        <v>24</v>
      </c>
      <c r="Z558" s="3" t="s">
        <v>25</v>
      </c>
      <c r="AA558" s="3" t="s">
        <v>23</v>
      </c>
      <c r="AB558" s="3" t="str">
        <f>IF(crimenes_cordoba_ampliado[[#This Row],[Hubo Arresto]]="Sí", "Resuelto", "Pendiente")</f>
        <v>Resuelto</v>
      </c>
      <c r="AC558" s="3" t="s">
        <v>268</v>
      </c>
      <c r="AD558" s="3"/>
    </row>
    <row r="559" spans="1:30" x14ac:dyDescent="0.25">
      <c r="A559">
        <v>429</v>
      </c>
      <c r="B559" s="1">
        <v>44130</v>
      </c>
      <c r="C559" s="33">
        <f t="shared" si="16"/>
        <v>44130</v>
      </c>
      <c r="D559" s="34">
        <f t="shared" si="17"/>
        <v>44130</v>
      </c>
      <c r="E559" s="35" t="s">
        <v>1452</v>
      </c>
      <c r="F559" s="2">
        <v>0.89930555555555558</v>
      </c>
      <c r="G559" s="3" t="s">
        <v>19</v>
      </c>
      <c r="H559" s="3" t="s">
        <v>32</v>
      </c>
      <c r="I559" s="25" t="str">
        <f>VLOOKUP(H559,Tabla5[#All],4,FALSE)</f>
        <v>-31,4148488101991, -64,1793406489438</v>
      </c>
      <c r="J559" s="1">
        <v>32665</v>
      </c>
      <c r="K559" s="7">
        <f>INT((crimenes_cordoba_ampliado[[#This Row],[Fecha]]-crimenes_cordoba_ampliado[[#This Row],[Fecha Nac. Delincuente]])/365)</f>
        <v>31</v>
      </c>
      <c r="L559" s="7" t="str">
        <f>_xlfn.XLOOKUP(crimenes_cordoba_ampliado[[#This Row],[EDAD DELINCUENTE]],'Rango etareo'!$A$10:$A$25,'Rango etareo'!$B$10:$B$25,,-1)</f>
        <v>26 - 35</v>
      </c>
      <c r="M559" s="3" t="s">
        <v>22</v>
      </c>
      <c r="N559" s="3" t="str">
        <f>IF(crimenes_cordoba_ampliado[[#This Row],[Género Delincuente]]="Femenino","🚺","🚹")</f>
        <v>🚹</v>
      </c>
      <c r="O559">
        <v>3</v>
      </c>
      <c r="P559" s="1">
        <v>39144</v>
      </c>
      <c r="Q559" s="7">
        <f>INT((crimenes_cordoba_ampliado[[#This Row],[Fecha]]-crimenes_cordoba_ampliado[[#This Row],[Fecha Nac. Víctima]])/365)</f>
        <v>13</v>
      </c>
      <c r="R559" s="7" t="str">
        <f>_xlfn.XLOOKUP(crimenes_cordoba_ampliado[[#This Row],[EDAD VICTIMA]],'Rango etareo'!$A$2:$A$25,'Rango etareo'!$B$2:$B$25,,-1)</f>
        <v>&lt;=17</v>
      </c>
      <c r="S559" s="3" t="s">
        <v>22</v>
      </c>
      <c r="T559" s="3" t="str">
        <f>IF(crimenes_cordoba_ampliado[[#This Row],[Género Víctima]]="Masculino","🚹","🚺")</f>
        <v>🚹</v>
      </c>
      <c r="U559">
        <v>3</v>
      </c>
      <c r="V559" s="3" t="s">
        <v>25</v>
      </c>
      <c r="W559" s="3" t="s">
        <v>24</v>
      </c>
      <c r="X559" s="3" t="s">
        <v>24</v>
      </c>
      <c r="Y559" s="3" t="s">
        <v>24</v>
      </c>
      <c r="Z559" s="3" t="s">
        <v>25</v>
      </c>
      <c r="AA559" s="3" t="s">
        <v>25</v>
      </c>
      <c r="AB559" s="3" t="str">
        <f>IF(crimenes_cordoba_ampliado[[#This Row],[Hubo Arresto]]="Sí", "Resuelto", "Pendiente")</f>
        <v>Pendiente</v>
      </c>
      <c r="AC559" s="3" t="s">
        <v>24</v>
      </c>
      <c r="AD559" s="3"/>
    </row>
    <row r="560" spans="1:30" x14ac:dyDescent="0.25">
      <c r="A560">
        <v>835</v>
      </c>
      <c r="B560" s="1">
        <v>44134</v>
      </c>
      <c r="C560" s="33">
        <f t="shared" si="16"/>
        <v>44134</v>
      </c>
      <c r="D560" s="34">
        <f t="shared" si="17"/>
        <v>44134</v>
      </c>
      <c r="E560" s="35" t="s">
        <v>1455</v>
      </c>
      <c r="F560" s="2">
        <v>0.3659722222222222</v>
      </c>
      <c r="G560" s="3" t="s">
        <v>42</v>
      </c>
      <c r="H560" s="3" t="s">
        <v>49</v>
      </c>
      <c r="I560" s="25" t="str">
        <f>VLOOKUP(H560,Tabla5[#All],4,FALSE)</f>
        <v>-31,4506257494184, -64,1733054344705</v>
      </c>
      <c r="J560" s="1">
        <v>26503</v>
      </c>
      <c r="K560" s="7">
        <f>INT((crimenes_cordoba_ampliado[[#This Row],[Fecha]]-crimenes_cordoba_ampliado[[#This Row],[Fecha Nac. Delincuente]])/365)</f>
        <v>48</v>
      </c>
      <c r="L560" s="7" t="str">
        <f>_xlfn.XLOOKUP(crimenes_cordoba_ampliado[[#This Row],[EDAD DELINCUENTE]],'Rango etareo'!$A$10:$A$25,'Rango etareo'!$B$10:$B$25,,-1)</f>
        <v>46 - 55</v>
      </c>
      <c r="M560" s="3" t="s">
        <v>21</v>
      </c>
      <c r="N560" s="3" t="str">
        <f>IF(crimenes_cordoba_ampliado[[#This Row],[Género Delincuente]]="Femenino","🚺","🚹")</f>
        <v>🚺</v>
      </c>
      <c r="O560">
        <v>1</v>
      </c>
      <c r="P560" s="1">
        <v>38596</v>
      </c>
      <c r="Q560" s="7">
        <f>INT((crimenes_cordoba_ampliado[[#This Row],[Fecha]]-crimenes_cordoba_ampliado[[#This Row],[Fecha Nac. Víctima]])/365)</f>
        <v>15</v>
      </c>
      <c r="R560" s="7" t="str">
        <f>_xlfn.XLOOKUP(crimenes_cordoba_ampliado[[#This Row],[EDAD VICTIMA]],'Rango etareo'!$A$2:$A$25,'Rango etareo'!$B$2:$B$25,,-1)</f>
        <v>&lt;=17</v>
      </c>
      <c r="S560" s="3" t="s">
        <v>21</v>
      </c>
      <c r="T560" s="3" t="str">
        <f>IF(crimenes_cordoba_ampliado[[#This Row],[Género Víctima]]="Masculino","🚹","🚺")</f>
        <v>🚺</v>
      </c>
      <c r="U560">
        <v>3</v>
      </c>
      <c r="V560" s="3" t="s">
        <v>25</v>
      </c>
      <c r="W560" s="3" t="s">
        <v>24</v>
      </c>
      <c r="X560" s="3" t="s">
        <v>67</v>
      </c>
      <c r="Y560" s="3" t="s">
        <v>24</v>
      </c>
      <c r="Z560" s="3" t="s">
        <v>23</v>
      </c>
      <c r="AA560" s="3" t="s">
        <v>25</v>
      </c>
      <c r="AB560" s="3" t="str">
        <f>IF(crimenes_cordoba_ampliado[[#This Row],[Hubo Arresto]]="Sí", "Resuelto", "Pendiente")</f>
        <v>Pendiente</v>
      </c>
      <c r="AC560" s="3" t="s">
        <v>24</v>
      </c>
      <c r="AD560" s="3"/>
    </row>
    <row r="561" spans="1:30" x14ac:dyDescent="0.25">
      <c r="A561">
        <v>423</v>
      </c>
      <c r="B561" s="1">
        <v>44138</v>
      </c>
      <c r="C561" s="33">
        <f t="shared" si="16"/>
        <v>44138</v>
      </c>
      <c r="D561" s="34">
        <f t="shared" si="17"/>
        <v>44138</v>
      </c>
      <c r="E561" s="35" t="s">
        <v>1453</v>
      </c>
      <c r="F561" s="2">
        <v>0.71875</v>
      </c>
      <c r="G561" s="3" t="s">
        <v>31</v>
      </c>
      <c r="H561" s="3" t="s">
        <v>58</v>
      </c>
      <c r="I561" s="25" t="str">
        <f>VLOOKUP(H561,Tabla5[#All],4,FALSE)</f>
        <v>-31,423018915313, -64,1493562190664</v>
      </c>
      <c r="J561" s="1">
        <v>35839</v>
      </c>
      <c r="K561" s="7">
        <f>INT((crimenes_cordoba_ampliado[[#This Row],[Fecha]]-crimenes_cordoba_ampliado[[#This Row],[Fecha Nac. Delincuente]])/365)</f>
        <v>22</v>
      </c>
      <c r="L561" s="7" t="str">
        <f>_xlfn.XLOOKUP(crimenes_cordoba_ampliado[[#This Row],[EDAD DELINCUENTE]],'Rango etareo'!$A$10:$A$25,'Rango etareo'!$B$10:$B$25,,-1)</f>
        <v>18 - 25</v>
      </c>
      <c r="M561" s="3" t="s">
        <v>21</v>
      </c>
      <c r="N561" s="3" t="str">
        <f>IF(crimenes_cordoba_ampliado[[#This Row],[Género Delincuente]]="Femenino","🚺","🚹")</f>
        <v>🚺</v>
      </c>
      <c r="O561">
        <v>1</v>
      </c>
      <c r="P561" s="1">
        <v>34846</v>
      </c>
      <c r="Q561" s="7">
        <f>INT((crimenes_cordoba_ampliado[[#This Row],[Fecha]]-crimenes_cordoba_ampliado[[#This Row],[Fecha Nac. Víctima]])/365)</f>
        <v>25</v>
      </c>
      <c r="R561" s="7" t="str">
        <f>_xlfn.XLOOKUP(crimenes_cordoba_ampliado[[#This Row],[EDAD VICTIMA]],'Rango etareo'!$A$2:$A$25,'Rango etareo'!$B$2:$B$25,,-1)</f>
        <v>18 - 25</v>
      </c>
      <c r="S561" s="3" t="s">
        <v>21</v>
      </c>
      <c r="T561" s="3" t="str">
        <f>IF(crimenes_cordoba_ampliado[[#This Row],[Género Víctima]]="Masculino","🚹","🚺")</f>
        <v>🚺</v>
      </c>
      <c r="U561">
        <v>2</v>
      </c>
      <c r="V561" s="3" t="s">
        <v>25</v>
      </c>
      <c r="W561" s="3" t="s">
        <v>24</v>
      </c>
      <c r="X561" s="3" t="s">
        <v>67</v>
      </c>
      <c r="Y561" s="3" t="s">
        <v>24</v>
      </c>
      <c r="Z561" s="3" t="s">
        <v>25</v>
      </c>
      <c r="AA561" s="3" t="s">
        <v>23</v>
      </c>
      <c r="AB561" s="3" t="str">
        <f>IF(crimenes_cordoba_ampliado[[#This Row],[Hubo Arresto]]="Sí", "Resuelto", "Pendiente")</f>
        <v>Pendiente</v>
      </c>
      <c r="AC561" s="3" t="s">
        <v>24</v>
      </c>
      <c r="AD561" s="3"/>
    </row>
    <row r="562" spans="1:30" x14ac:dyDescent="0.25">
      <c r="A562">
        <v>283</v>
      </c>
      <c r="B562" s="1">
        <v>44139</v>
      </c>
      <c r="C562" s="33">
        <f t="shared" si="16"/>
        <v>44139</v>
      </c>
      <c r="D562" s="34">
        <f t="shared" si="17"/>
        <v>44139</v>
      </c>
      <c r="E562" s="35" t="s">
        <v>1450</v>
      </c>
      <c r="F562" s="2">
        <v>0.81458333333333333</v>
      </c>
      <c r="G562" s="3" t="s">
        <v>42</v>
      </c>
      <c r="H562" s="3" t="s">
        <v>58</v>
      </c>
      <c r="I562" s="25" t="str">
        <f>VLOOKUP(H562,Tabla5[#All],4,FALSE)</f>
        <v>-31,423018915313, -64,1493562190664</v>
      </c>
      <c r="J562" s="1">
        <v>21363</v>
      </c>
      <c r="K562" s="7">
        <f>INT((crimenes_cordoba_ampliado[[#This Row],[Fecha]]-crimenes_cordoba_ampliado[[#This Row],[Fecha Nac. Delincuente]])/365)</f>
        <v>62</v>
      </c>
      <c r="L562" s="7" t="str">
        <f>_xlfn.XLOOKUP(crimenes_cordoba_ampliado[[#This Row],[EDAD DELINCUENTE]],'Rango etareo'!$A$10:$A$25,'Rango etareo'!$B$10:$B$25,,-1)</f>
        <v>56 - 65</v>
      </c>
      <c r="M562" s="3" t="s">
        <v>22</v>
      </c>
      <c r="N562" s="3" t="str">
        <f>IF(crimenes_cordoba_ampliado[[#This Row],[Género Delincuente]]="Femenino","🚺","🚹")</f>
        <v>🚹</v>
      </c>
      <c r="O562">
        <v>1</v>
      </c>
      <c r="P562" s="1">
        <v>38889</v>
      </c>
      <c r="Q562" s="7">
        <f>INT((crimenes_cordoba_ampliado[[#This Row],[Fecha]]-crimenes_cordoba_ampliado[[#This Row],[Fecha Nac. Víctima]])/365)</f>
        <v>14</v>
      </c>
      <c r="R562" s="7" t="str">
        <f>_xlfn.XLOOKUP(crimenes_cordoba_ampliado[[#This Row],[EDAD VICTIMA]],'Rango etareo'!$A$2:$A$25,'Rango etareo'!$B$2:$B$25,,-1)</f>
        <v>&lt;=17</v>
      </c>
      <c r="S562" s="3" t="s">
        <v>22</v>
      </c>
      <c r="T562" s="3" t="str">
        <f>IF(crimenes_cordoba_ampliado[[#This Row],[Género Víctima]]="Masculino","🚹","🚺")</f>
        <v>🚹</v>
      </c>
      <c r="U562">
        <v>3</v>
      </c>
      <c r="V562" s="3" t="s">
        <v>25</v>
      </c>
      <c r="W562" s="3" t="s">
        <v>63</v>
      </c>
      <c r="X562" s="3" t="s">
        <v>24</v>
      </c>
      <c r="Y562" s="3" t="s">
        <v>99</v>
      </c>
      <c r="Z562" s="3" t="s">
        <v>25</v>
      </c>
      <c r="AA562" s="3" t="s">
        <v>23</v>
      </c>
      <c r="AB562" s="3" t="str">
        <f>IF(crimenes_cordoba_ampliado[[#This Row],[Hubo Arresto]]="Sí", "Resuelto", "Pendiente")</f>
        <v>Pendiente</v>
      </c>
      <c r="AC562" s="3" t="s">
        <v>24</v>
      </c>
      <c r="AD562" s="3"/>
    </row>
    <row r="563" spans="1:30" x14ac:dyDescent="0.25">
      <c r="A563">
        <v>818</v>
      </c>
      <c r="B563" s="1">
        <v>44142</v>
      </c>
      <c r="C563" s="33">
        <f t="shared" si="16"/>
        <v>44142</v>
      </c>
      <c r="D563" s="34">
        <f t="shared" si="17"/>
        <v>44142</v>
      </c>
      <c r="E563" s="35" t="s">
        <v>1451</v>
      </c>
      <c r="F563" s="2">
        <v>0.91319444444444442</v>
      </c>
      <c r="G563" s="3" t="s">
        <v>38</v>
      </c>
      <c r="H563" s="3" t="s">
        <v>62</v>
      </c>
      <c r="I563" s="25" t="str">
        <f>VLOOKUP(H563,Tabla5[#All],4,FALSE)</f>
        <v>-31,3909520937826, -64,1836424491715</v>
      </c>
      <c r="J563" s="1">
        <v>18281</v>
      </c>
      <c r="K563" s="7">
        <f>INT((crimenes_cordoba_ampliado[[#This Row],[Fecha]]-crimenes_cordoba_ampliado[[#This Row],[Fecha Nac. Delincuente]])/365)</f>
        <v>70</v>
      </c>
      <c r="L563" s="7" t="str">
        <f>_xlfn.XLOOKUP(crimenes_cordoba_ampliado[[#This Row],[EDAD DELINCUENTE]],'Rango etareo'!$A$10:$A$25,'Rango etareo'!$B$10:$B$25,,-1)</f>
        <v>&gt;65</v>
      </c>
      <c r="M563" s="3" t="s">
        <v>21</v>
      </c>
      <c r="N563" s="3" t="str">
        <f>IF(crimenes_cordoba_ampliado[[#This Row],[Género Delincuente]]="Femenino","🚺","🚹")</f>
        <v>🚺</v>
      </c>
      <c r="O563">
        <v>4</v>
      </c>
      <c r="P563" s="1">
        <v>17770</v>
      </c>
      <c r="Q563" s="7">
        <f>INT((crimenes_cordoba_ampliado[[#This Row],[Fecha]]-crimenes_cordoba_ampliado[[#This Row],[Fecha Nac. Víctima]])/365)</f>
        <v>72</v>
      </c>
      <c r="R563" s="7" t="str">
        <f>_xlfn.XLOOKUP(crimenes_cordoba_ampliado[[#This Row],[EDAD VICTIMA]],'Rango etareo'!$A$2:$A$25,'Rango etareo'!$B$2:$B$25,,-1)</f>
        <v>&gt;65</v>
      </c>
      <c r="S563" s="3" t="s">
        <v>22</v>
      </c>
      <c r="T563" s="3" t="str">
        <f>IF(crimenes_cordoba_ampliado[[#This Row],[Género Víctima]]="Masculino","🚹","🚺")</f>
        <v>🚹</v>
      </c>
      <c r="U563">
        <v>1</v>
      </c>
      <c r="V563" s="3" t="s">
        <v>25</v>
      </c>
      <c r="W563" s="3" t="s">
        <v>36</v>
      </c>
      <c r="X563" s="3" t="s">
        <v>67</v>
      </c>
      <c r="Y563" s="3" t="s">
        <v>24</v>
      </c>
      <c r="Z563" s="3" t="s">
        <v>25</v>
      </c>
      <c r="AA563" s="3" t="s">
        <v>23</v>
      </c>
      <c r="AB563" s="3" t="str">
        <f>IF(crimenes_cordoba_ampliado[[#This Row],[Hubo Arresto]]="Sí", "Resuelto", "Pendiente")</f>
        <v>Pendiente</v>
      </c>
      <c r="AC563" s="3" t="s">
        <v>24</v>
      </c>
      <c r="AD563" s="3"/>
    </row>
    <row r="564" spans="1:30" x14ac:dyDescent="0.25">
      <c r="A564">
        <v>970</v>
      </c>
      <c r="B564" s="1">
        <v>44142</v>
      </c>
      <c r="C564" s="33">
        <f t="shared" si="16"/>
        <v>44142</v>
      </c>
      <c r="D564" s="34">
        <f t="shared" si="17"/>
        <v>44142</v>
      </c>
      <c r="E564" s="35" t="s">
        <v>1451</v>
      </c>
      <c r="F564" s="2">
        <v>0.69861111111111107</v>
      </c>
      <c r="G564" s="3" t="s">
        <v>31</v>
      </c>
      <c r="H564" s="3" t="s">
        <v>32</v>
      </c>
      <c r="I564" s="25" t="str">
        <f>VLOOKUP(H564,Tabla5[#All],4,FALSE)</f>
        <v>-31,4148488101991, -64,1793406489438</v>
      </c>
      <c r="J564" s="1">
        <v>34477</v>
      </c>
      <c r="K564" s="7">
        <f>INT((crimenes_cordoba_ampliado[[#This Row],[Fecha]]-crimenes_cordoba_ampliado[[#This Row],[Fecha Nac. Delincuente]])/365)</f>
        <v>26</v>
      </c>
      <c r="L564" s="7" t="str">
        <f>_xlfn.XLOOKUP(crimenes_cordoba_ampliado[[#This Row],[EDAD DELINCUENTE]],'Rango etareo'!$A$10:$A$25,'Rango etareo'!$B$10:$B$25,,-1)</f>
        <v>26 - 35</v>
      </c>
      <c r="M564" s="3" t="s">
        <v>22</v>
      </c>
      <c r="N564" s="3" t="str">
        <f>IF(crimenes_cordoba_ampliado[[#This Row],[Género Delincuente]]="Femenino","🚺","🚹")</f>
        <v>🚹</v>
      </c>
      <c r="O564">
        <v>4</v>
      </c>
      <c r="P564" s="1">
        <v>29391</v>
      </c>
      <c r="Q564" s="7">
        <f>INT((crimenes_cordoba_ampliado[[#This Row],[Fecha]]-crimenes_cordoba_ampliado[[#This Row],[Fecha Nac. Víctima]])/365)</f>
        <v>40</v>
      </c>
      <c r="R564" s="7" t="str">
        <f>_xlfn.XLOOKUP(crimenes_cordoba_ampliado[[#This Row],[EDAD VICTIMA]],'Rango etareo'!$A$2:$A$25,'Rango etareo'!$B$2:$B$25,,-1)</f>
        <v>36 - 45</v>
      </c>
      <c r="S564" s="3" t="s">
        <v>21</v>
      </c>
      <c r="T564" s="3" t="str">
        <f>IF(crimenes_cordoba_ampliado[[#This Row],[Género Víctima]]="Masculino","🚹","🚺")</f>
        <v>🚺</v>
      </c>
      <c r="U564">
        <v>2</v>
      </c>
      <c r="V564" s="3" t="s">
        <v>25</v>
      </c>
      <c r="W564" s="3" t="s">
        <v>24</v>
      </c>
      <c r="X564" s="3" t="s">
        <v>24</v>
      </c>
      <c r="Y564" s="3" t="s">
        <v>39</v>
      </c>
      <c r="Z564" s="3" t="s">
        <v>25</v>
      </c>
      <c r="AA564" s="3" t="s">
        <v>25</v>
      </c>
      <c r="AB564" s="3" t="str">
        <f>IF(crimenes_cordoba_ampliado[[#This Row],[Hubo Arresto]]="Sí", "Resuelto", "Pendiente")</f>
        <v>Pendiente</v>
      </c>
      <c r="AC564" s="3" t="s">
        <v>24</v>
      </c>
      <c r="AD564" s="3"/>
    </row>
    <row r="565" spans="1:30" x14ac:dyDescent="0.25">
      <c r="A565">
        <v>552</v>
      </c>
      <c r="B565" s="1">
        <v>45293</v>
      </c>
      <c r="C565" s="33">
        <f t="shared" si="16"/>
        <v>45293</v>
      </c>
      <c r="D565" s="34">
        <f t="shared" si="17"/>
        <v>45293</v>
      </c>
      <c r="E565" s="35" t="s">
        <v>1453</v>
      </c>
      <c r="F565" s="2">
        <v>0.87569444444444444</v>
      </c>
      <c r="G565" s="3" t="s">
        <v>35</v>
      </c>
      <c r="H565" s="3" t="s">
        <v>62</v>
      </c>
      <c r="I565" s="25" t="str">
        <f>VLOOKUP(H565,Tabla5[#All],4,FALSE)</f>
        <v>-31,3909520937826, -64,1836424491715</v>
      </c>
      <c r="J565" s="1">
        <v>32125</v>
      </c>
      <c r="K565" s="7">
        <f>INT((crimenes_cordoba_ampliado[[#This Row],[Fecha]]-crimenes_cordoba_ampliado[[#This Row],[Fecha Nac. Delincuente]])/365)</f>
        <v>36</v>
      </c>
      <c r="L565" s="7" t="str">
        <f>_xlfn.XLOOKUP(crimenes_cordoba_ampliado[[#This Row],[EDAD DELINCUENTE]],'Rango etareo'!$A$10:$A$25,'Rango etareo'!$B$10:$B$25,,-1)</f>
        <v>36 - 45</v>
      </c>
      <c r="M565" s="3" t="s">
        <v>21</v>
      </c>
      <c r="N565" s="3" t="str">
        <f>IF(crimenes_cordoba_ampliado[[#This Row],[Género Delincuente]]="Femenino","🚺","🚹")</f>
        <v>🚺</v>
      </c>
      <c r="O565">
        <v>2</v>
      </c>
      <c r="P565" s="1">
        <v>23085</v>
      </c>
      <c r="Q565" s="7">
        <f>INT((crimenes_cordoba_ampliado[[#This Row],[Fecha]]-crimenes_cordoba_ampliado[[#This Row],[Fecha Nac. Víctima]])/365)</f>
        <v>60</v>
      </c>
      <c r="R565" s="7" t="str">
        <f>_xlfn.XLOOKUP(crimenes_cordoba_ampliado[[#This Row],[EDAD VICTIMA]],'Rango etareo'!$A$2:$A$25,'Rango etareo'!$B$2:$B$25,,-1)</f>
        <v>56 - 65</v>
      </c>
      <c r="S565" s="3" t="s">
        <v>21</v>
      </c>
      <c r="T565" s="3" t="str">
        <f>IF(crimenes_cordoba_ampliado[[#This Row],[Género Víctima]]="Masculino","🚹","🚺")</f>
        <v>🚺</v>
      </c>
      <c r="U565">
        <v>2</v>
      </c>
      <c r="V565" s="3" t="s">
        <v>23</v>
      </c>
      <c r="W565" s="3" t="s">
        <v>83</v>
      </c>
      <c r="X565" s="3" t="s">
        <v>41</v>
      </c>
      <c r="Y565" s="3" t="s">
        <v>24</v>
      </c>
      <c r="Z565" s="3" t="s">
        <v>23</v>
      </c>
      <c r="AA565" s="3" t="s">
        <v>25</v>
      </c>
      <c r="AB565" s="3" t="str">
        <f>IF(crimenes_cordoba_ampliado[[#This Row],[Hubo Arresto]]="Sí", "Resuelto", "Pendiente")</f>
        <v>Resuelto</v>
      </c>
      <c r="AC565" s="3" t="s">
        <v>269</v>
      </c>
      <c r="AD565" s="3"/>
    </row>
    <row r="566" spans="1:30" x14ac:dyDescent="0.25">
      <c r="A566">
        <v>999</v>
      </c>
      <c r="B566" s="1">
        <v>44148</v>
      </c>
      <c r="C566" s="33">
        <f t="shared" si="16"/>
        <v>44148</v>
      </c>
      <c r="D566" s="34">
        <f t="shared" si="17"/>
        <v>44148</v>
      </c>
      <c r="E566" s="35" t="s">
        <v>1455</v>
      </c>
      <c r="F566" s="2">
        <v>0.81041666666666667</v>
      </c>
      <c r="G566" s="3" t="s">
        <v>31</v>
      </c>
      <c r="H566" s="3" t="s">
        <v>32</v>
      </c>
      <c r="I566" s="25" t="str">
        <f>VLOOKUP(H566,Tabla5[#All],4,FALSE)</f>
        <v>-31,4148488101991, -64,1793406489438</v>
      </c>
      <c r="J566" s="1">
        <v>33287</v>
      </c>
      <c r="K566" s="7">
        <f>INT((crimenes_cordoba_ampliado[[#This Row],[Fecha]]-crimenes_cordoba_ampliado[[#This Row],[Fecha Nac. Delincuente]])/365)</f>
        <v>29</v>
      </c>
      <c r="L566" s="7" t="str">
        <f>_xlfn.XLOOKUP(crimenes_cordoba_ampliado[[#This Row],[EDAD DELINCUENTE]],'Rango etareo'!$A$10:$A$25,'Rango etareo'!$B$10:$B$25,,-1)</f>
        <v>26 - 35</v>
      </c>
      <c r="M566" s="3" t="s">
        <v>21</v>
      </c>
      <c r="N566" s="3" t="str">
        <f>IF(crimenes_cordoba_ampliado[[#This Row],[Género Delincuente]]="Femenino","🚺","🚹")</f>
        <v>🚺</v>
      </c>
      <c r="O566">
        <v>5</v>
      </c>
      <c r="P566" s="1">
        <v>28361</v>
      </c>
      <c r="Q566" s="7">
        <f>INT((crimenes_cordoba_ampliado[[#This Row],[Fecha]]-crimenes_cordoba_ampliado[[#This Row],[Fecha Nac. Víctima]])/365)</f>
        <v>43</v>
      </c>
      <c r="R566" s="7" t="str">
        <f>_xlfn.XLOOKUP(crimenes_cordoba_ampliado[[#This Row],[EDAD VICTIMA]],'Rango etareo'!$A$2:$A$25,'Rango etareo'!$B$2:$B$25,,-1)</f>
        <v>36 - 45</v>
      </c>
      <c r="S566" s="3" t="s">
        <v>21</v>
      </c>
      <c r="T566" s="3" t="str">
        <f>IF(crimenes_cordoba_ampliado[[#This Row],[Género Víctima]]="Masculino","🚹","🚺")</f>
        <v>🚺</v>
      </c>
      <c r="U566">
        <v>1</v>
      </c>
      <c r="V566" s="3" t="s">
        <v>25</v>
      </c>
      <c r="W566" s="3" t="s">
        <v>36</v>
      </c>
      <c r="X566" s="3" t="s">
        <v>67</v>
      </c>
      <c r="Y566" s="3" t="s">
        <v>24</v>
      </c>
      <c r="Z566" s="3" t="s">
        <v>25</v>
      </c>
      <c r="AA566" s="3" t="s">
        <v>25</v>
      </c>
      <c r="AB566" s="3" t="str">
        <f>IF(crimenes_cordoba_ampliado[[#This Row],[Hubo Arresto]]="Sí", "Resuelto", "Pendiente")</f>
        <v>Pendiente</v>
      </c>
      <c r="AC566" s="3" t="s">
        <v>24</v>
      </c>
      <c r="AD566" s="3"/>
    </row>
    <row r="567" spans="1:30" x14ac:dyDescent="0.25">
      <c r="A567">
        <v>554</v>
      </c>
      <c r="B567" s="1">
        <v>43484</v>
      </c>
      <c r="C567" s="33">
        <f t="shared" si="16"/>
        <v>43484</v>
      </c>
      <c r="D567" s="34">
        <f t="shared" si="17"/>
        <v>43484</v>
      </c>
      <c r="E567" s="35" t="s">
        <v>1451</v>
      </c>
      <c r="F567" s="2">
        <v>0.95347222222222228</v>
      </c>
      <c r="G567" s="3" t="s">
        <v>45</v>
      </c>
      <c r="H567" s="3" t="s">
        <v>20</v>
      </c>
      <c r="I567" s="25" t="str">
        <f>VLOOKUP(H567,Tabla5[#All],4,FALSE)</f>
        <v>-31,4800162965848, -64,2094200976892</v>
      </c>
      <c r="J567" s="1">
        <v>30165</v>
      </c>
      <c r="K567" s="7">
        <f>INT((crimenes_cordoba_ampliado[[#This Row],[Fecha]]-crimenes_cordoba_ampliado[[#This Row],[Fecha Nac. Delincuente]])/365)</f>
        <v>36</v>
      </c>
      <c r="L567" s="7" t="str">
        <f>_xlfn.XLOOKUP(crimenes_cordoba_ampliado[[#This Row],[EDAD DELINCUENTE]],'Rango etareo'!$A$10:$A$25,'Rango etareo'!$B$10:$B$25,,-1)</f>
        <v>36 - 45</v>
      </c>
      <c r="M567" s="3" t="s">
        <v>21</v>
      </c>
      <c r="N567" s="3" t="str">
        <f>IF(crimenes_cordoba_ampliado[[#This Row],[Género Delincuente]]="Femenino","🚺","🚹")</f>
        <v>🚺</v>
      </c>
      <c r="O567">
        <v>4</v>
      </c>
      <c r="P567" s="1">
        <v>30447</v>
      </c>
      <c r="Q567" s="7">
        <f>INT((crimenes_cordoba_ampliado[[#This Row],[Fecha]]-crimenes_cordoba_ampliado[[#This Row],[Fecha Nac. Víctima]])/365)</f>
        <v>35</v>
      </c>
      <c r="R567" s="7" t="str">
        <f>_xlfn.XLOOKUP(crimenes_cordoba_ampliado[[#This Row],[EDAD VICTIMA]],'Rango etareo'!$A$2:$A$25,'Rango etareo'!$B$2:$B$25,,-1)</f>
        <v>26 - 35</v>
      </c>
      <c r="S567" s="3" t="s">
        <v>21</v>
      </c>
      <c r="T567" s="3" t="str">
        <f>IF(crimenes_cordoba_ampliado[[#This Row],[Género Víctima]]="Masculino","🚹","🚺")</f>
        <v>🚺</v>
      </c>
      <c r="U567">
        <v>1</v>
      </c>
      <c r="V567" s="3" t="s">
        <v>23</v>
      </c>
      <c r="W567" s="3" t="s">
        <v>24</v>
      </c>
      <c r="X567" s="3" t="s">
        <v>24</v>
      </c>
      <c r="Y567" s="3" t="s">
        <v>98</v>
      </c>
      <c r="Z567" s="3" t="s">
        <v>25</v>
      </c>
      <c r="AA567" s="3" t="s">
        <v>25</v>
      </c>
      <c r="AB567" s="3" t="str">
        <f>IF(crimenes_cordoba_ampliado[[#This Row],[Hubo Arresto]]="Sí", "Resuelto", "Pendiente")</f>
        <v>Resuelto</v>
      </c>
      <c r="AC567" s="3" t="s">
        <v>135</v>
      </c>
      <c r="AD567" s="3"/>
    </row>
    <row r="568" spans="1:30" x14ac:dyDescent="0.25">
      <c r="A568">
        <v>555</v>
      </c>
      <c r="B568" s="1">
        <v>42624</v>
      </c>
      <c r="C568" s="33">
        <f t="shared" si="16"/>
        <v>42624</v>
      </c>
      <c r="D568" s="34">
        <f t="shared" si="17"/>
        <v>42624</v>
      </c>
      <c r="E568" s="35" t="s">
        <v>1449</v>
      </c>
      <c r="F568" s="2">
        <v>3.2638888888888891E-2</v>
      </c>
      <c r="G568" s="3" t="s">
        <v>48</v>
      </c>
      <c r="H568" s="3" t="s">
        <v>55</v>
      </c>
      <c r="I568" s="25" t="str">
        <f>VLOOKUP(H568,Tabla5[#All],4,FALSE)</f>
        <v>-31,4015892433235, -64,160442876477</v>
      </c>
      <c r="J568" s="1">
        <v>29870</v>
      </c>
      <c r="K568" s="7">
        <f>INT((crimenes_cordoba_ampliado[[#This Row],[Fecha]]-crimenes_cordoba_ampliado[[#This Row],[Fecha Nac. Delincuente]])/365)</f>
        <v>34</v>
      </c>
      <c r="L568" s="7" t="str">
        <f>_xlfn.XLOOKUP(crimenes_cordoba_ampliado[[#This Row],[EDAD DELINCUENTE]],'Rango etareo'!$A$10:$A$25,'Rango etareo'!$B$10:$B$25,,-1)</f>
        <v>26 - 35</v>
      </c>
      <c r="M568" s="3" t="s">
        <v>21</v>
      </c>
      <c r="N568" s="3" t="str">
        <f>IF(crimenes_cordoba_ampliado[[#This Row],[Género Delincuente]]="Femenino","🚺","🚹")</f>
        <v>🚺</v>
      </c>
      <c r="O568">
        <v>1</v>
      </c>
      <c r="P568" s="1">
        <v>40695</v>
      </c>
      <c r="Q568" s="7">
        <f>INT((crimenes_cordoba_ampliado[[#This Row],[Fecha]]-crimenes_cordoba_ampliado[[#This Row],[Fecha Nac. Víctima]])/365)</f>
        <v>5</v>
      </c>
      <c r="R568" s="7" t="str">
        <f>_xlfn.XLOOKUP(crimenes_cordoba_ampliado[[#This Row],[EDAD VICTIMA]],'Rango etareo'!$A$2:$A$25,'Rango etareo'!$B$2:$B$25,,-1)</f>
        <v>&lt;=17</v>
      </c>
      <c r="S568" s="3" t="s">
        <v>22</v>
      </c>
      <c r="T568" s="3" t="str">
        <f>IF(crimenes_cordoba_ampliado[[#This Row],[Género Víctima]]="Masculino","🚹","🚺")</f>
        <v>🚹</v>
      </c>
      <c r="U568">
        <v>1</v>
      </c>
      <c r="V568" s="3" t="s">
        <v>23</v>
      </c>
      <c r="W568" s="3" t="s">
        <v>24</v>
      </c>
      <c r="X568" s="3" t="s">
        <v>24</v>
      </c>
      <c r="Y568" s="3" t="s">
        <v>24</v>
      </c>
      <c r="Z568" s="3" t="s">
        <v>25</v>
      </c>
      <c r="AA568" s="3" t="s">
        <v>23</v>
      </c>
      <c r="AB568" s="3" t="str">
        <f>IF(crimenes_cordoba_ampliado[[#This Row],[Hubo Arresto]]="Sí", "Resuelto", "Pendiente")</f>
        <v>Resuelto</v>
      </c>
      <c r="AC568" s="3" t="s">
        <v>134</v>
      </c>
      <c r="AD568" s="3"/>
    </row>
    <row r="569" spans="1:30" x14ac:dyDescent="0.25">
      <c r="A569">
        <v>458</v>
      </c>
      <c r="B569" s="1">
        <v>44153</v>
      </c>
      <c r="C569" s="33">
        <f t="shared" si="16"/>
        <v>44153</v>
      </c>
      <c r="D569" s="34">
        <f t="shared" si="17"/>
        <v>44153</v>
      </c>
      <c r="E569" s="35" t="s">
        <v>1450</v>
      </c>
      <c r="F569" s="2">
        <v>0.4201388888888889</v>
      </c>
      <c r="G569" s="3" t="s">
        <v>35</v>
      </c>
      <c r="H569" s="3" t="s">
        <v>55</v>
      </c>
      <c r="I569" s="25" t="str">
        <f>VLOOKUP(H569,Tabla5[#All],4,FALSE)</f>
        <v>-31,4015892433235, -64,160442876477</v>
      </c>
      <c r="J569" s="1">
        <v>23664</v>
      </c>
      <c r="K569" s="7">
        <f>INT((crimenes_cordoba_ampliado[[#This Row],[Fecha]]-crimenes_cordoba_ampliado[[#This Row],[Fecha Nac. Delincuente]])/365)</f>
        <v>56</v>
      </c>
      <c r="L569" s="7" t="str">
        <f>_xlfn.XLOOKUP(crimenes_cordoba_ampliado[[#This Row],[EDAD DELINCUENTE]],'Rango etareo'!$A$10:$A$25,'Rango etareo'!$B$10:$B$25,,-1)</f>
        <v>56 - 65</v>
      </c>
      <c r="M569" s="3" t="s">
        <v>21</v>
      </c>
      <c r="N569" s="3" t="str">
        <f>IF(crimenes_cordoba_ampliado[[#This Row],[Género Delincuente]]="Femenino","🚺","🚹")</f>
        <v>🚺</v>
      </c>
      <c r="O569">
        <v>1</v>
      </c>
      <c r="P569" s="1">
        <v>26096</v>
      </c>
      <c r="Q569" s="7">
        <f>INT((crimenes_cordoba_ampliado[[#This Row],[Fecha]]-crimenes_cordoba_ampliado[[#This Row],[Fecha Nac. Víctima]])/365)</f>
        <v>49</v>
      </c>
      <c r="R569" s="7" t="str">
        <f>_xlfn.XLOOKUP(crimenes_cordoba_ampliado[[#This Row],[EDAD VICTIMA]],'Rango etareo'!$A$2:$A$25,'Rango etareo'!$B$2:$B$25,,-1)</f>
        <v>46 - 55</v>
      </c>
      <c r="S569" s="3" t="s">
        <v>21</v>
      </c>
      <c r="T569" s="3" t="str">
        <f>IF(crimenes_cordoba_ampliado[[#This Row],[Género Víctima]]="Masculino","🚹","🚺")</f>
        <v>🚺</v>
      </c>
      <c r="U569">
        <v>3</v>
      </c>
      <c r="V569" s="3" t="s">
        <v>25</v>
      </c>
      <c r="W569" s="3" t="s">
        <v>24</v>
      </c>
      <c r="X569" s="3" t="s">
        <v>24</v>
      </c>
      <c r="Y569" s="3" t="s">
        <v>113</v>
      </c>
      <c r="Z569" s="3" t="s">
        <v>25</v>
      </c>
      <c r="AA569" s="3" t="s">
        <v>25</v>
      </c>
      <c r="AB569" s="3" t="str">
        <f>IF(crimenes_cordoba_ampliado[[#This Row],[Hubo Arresto]]="Sí", "Resuelto", "Pendiente")</f>
        <v>Pendiente</v>
      </c>
      <c r="AC569" s="3" t="s">
        <v>24</v>
      </c>
      <c r="AD569" s="3"/>
    </row>
    <row r="570" spans="1:30" x14ac:dyDescent="0.25">
      <c r="A570">
        <v>386</v>
      </c>
      <c r="B570" s="1">
        <v>44165</v>
      </c>
      <c r="C570" s="33">
        <f t="shared" si="16"/>
        <v>44165</v>
      </c>
      <c r="D570" s="34">
        <f t="shared" si="17"/>
        <v>44165</v>
      </c>
      <c r="E570" s="35" t="s">
        <v>1452</v>
      </c>
      <c r="F570" s="2">
        <v>0.70694444444444449</v>
      </c>
      <c r="G570" s="3" t="s">
        <v>79</v>
      </c>
      <c r="H570" s="3" t="s">
        <v>40</v>
      </c>
      <c r="I570" s="25" t="str">
        <f>VLOOKUP(H570,Tabla5[#All],4,FALSE)</f>
        <v>-31,334500143441, -64,2460773260564</v>
      </c>
      <c r="J570" s="1">
        <v>36398</v>
      </c>
      <c r="K570" s="7">
        <f>INT((crimenes_cordoba_ampliado[[#This Row],[Fecha]]-crimenes_cordoba_ampliado[[#This Row],[Fecha Nac. Delincuente]])/365)</f>
        <v>21</v>
      </c>
      <c r="L570" s="7" t="str">
        <f>_xlfn.XLOOKUP(crimenes_cordoba_ampliado[[#This Row],[EDAD DELINCUENTE]],'Rango etareo'!$A$10:$A$25,'Rango etareo'!$B$10:$B$25,,-1)</f>
        <v>18 - 25</v>
      </c>
      <c r="M570" s="3" t="s">
        <v>21</v>
      </c>
      <c r="N570" s="3" t="str">
        <f>IF(crimenes_cordoba_ampliado[[#This Row],[Género Delincuente]]="Femenino","🚺","🚹")</f>
        <v>🚺</v>
      </c>
      <c r="O570">
        <v>2</v>
      </c>
      <c r="P570" s="1">
        <v>16166</v>
      </c>
      <c r="Q570" s="7">
        <f>INT((crimenes_cordoba_ampliado[[#This Row],[Fecha]]-crimenes_cordoba_ampliado[[#This Row],[Fecha Nac. Víctima]])/365)</f>
        <v>76</v>
      </c>
      <c r="R570" s="7" t="str">
        <f>_xlfn.XLOOKUP(crimenes_cordoba_ampliado[[#This Row],[EDAD VICTIMA]],'Rango etareo'!$A$2:$A$25,'Rango etareo'!$B$2:$B$25,,-1)</f>
        <v>&gt;65</v>
      </c>
      <c r="S570" s="3" t="s">
        <v>21</v>
      </c>
      <c r="T570" s="3" t="str">
        <f>IF(crimenes_cordoba_ampliado[[#This Row],[Género Víctima]]="Masculino","🚹","🚺")</f>
        <v>🚺</v>
      </c>
      <c r="U570">
        <v>2</v>
      </c>
      <c r="V570" s="3" t="s">
        <v>25</v>
      </c>
      <c r="W570" s="3" t="s">
        <v>24</v>
      </c>
      <c r="X570" s="3" t="s">
        <v>24</v>
      </c>
      <c r="Y570" s="3" t="s">
        <v>69</v>
      </c>
      <c r="Z570" s="3" t="s">
        <v>23</v>
      </c>
      <c r="AA570" s="3" t="s">
        <v>23</v>
      </c>
      <c r="AB570" s="3" t="str">
        <f>IF(crimenes_cordoba_ampliado[[#This Row],[Hubo Arresto]]="Sí", "Resuelto", "Pendiente")</f>
        <v>Pendiente</v>
      </c>
      <c r="AC570" s="3" t="s">
        <v>24</v>
      </c>
      <c r="AD570" s="3"/>
    </row>
    <row r="571" spans="1:30" x14ac:dyDescent="0.25">
      <c r="A571">
        <v>890</v>
      </c>
      <c r="B571" s="1">
        <v>44166</v>
      </c>
      <c r="C571" s="33">
        <f t="shared" si="16"/>
        <v>44166</v>
      </c>
      <c r="D571" s="34">
        <f t="shared" si="17"/>
        <v>44166</v>
      </c>
      <c r="E571" s="35" t="s">
        <v>1453</v>
      </c>
      <c r="F571" s="2">
        <v>0.85555555555555551</v>
      </c>
      <c r="G571" s="3" t="s">
        <v>38</v>
      </c>
      <c r="H571" s="3" t="s">
        <v>70</v>
      </c>
      <c r="I571" s="25" t="str">
        <f>VLOOKUP(H571,Tabla5[#All],4,FALSE)</f>
        <v>-31,3759272890294, -64,2284587792478</v>
      </c>
      <c r="J571" s="1">
        <v>37475</v>
      </c>
      <c r="K571" s="7">
        <f>INT((crimenes_cordoba_ampliado[[#This Row],[Fecha]]-crimenes_cordoba_ampliado[[#This Row],[Fecha Nac. Delincuente]])/365)</f>
        <v>18</v>
      </c>
      <c r="L571" s="7" t="str">
        <f>_xlfn.XLOOKUP(crimenes_cordoba_ampliado[[#This Row],[EDAD DELINCUENTE]],'Rango etareo'!$A$10:$A$25,'Rango etareo'!$B$10:$B$25,,-1)</f>
        <v>18 - 25</v>
      </c>
      <c r="M571" s="3" t="s">
        <v>22</v>
      </c>
      <c r="N571" s="3" t="str">
        <f>IF(crimenes_cordoba_ampliado[[#This Row],[Género Delincuente]]="Femenino","🚺","🚹")</f>
        <v>🚹</v>
      </c>
      <c r="O571">
        <v>4</v>
      </c>
      <c r="P571" s="1">
        <v>15985</v>
      </c>
      <c r="Q571" s="7">
        <f>INT((crimenes_cordoba_ampliado[[#This Row],[Fecha]]-crimenes_cordoba_ampliado[[#This Row],[Fecha Nac. Víctima]])/365)</f>
        <v>77</v>
      </c>
      <c r="R571" s="7" t="str">
        <f>_xlfn.XLOOKUP(crimenes_cordoba_ampliado[[#This Row],[EDAD VICTIMA]],'Rango etareo'!$A$2:$A$25,'Rango etareo'!$B$2:$B$25,,-1)</f>
        <v>&gt;65</v>
      </c>
      <c r="S571" s="3" t="s">
        <v>22</v>
      </c>
      <c r="T571" s="3" t="str">
        <f>IF(crimenes_cordoba_ampliado[[#This Row],[Género Víctima]]="Masculino","🚹","🚺")</f>
        <v>🚹</v>
      </c>
      <c r="U571">
        <v>1</v>
      </c>
      <c r="V571" s="3" t="s">
        <v>25</v>
      </c>
      <c r="W571" s="3" t="s">
        <v>71</v>
      </c>
      <c r="X571" s="3" t="s">
        <v>24</v>
      </c>
      <c r="Y571" s="3" t="s">
        <v>64</v>
      </c>
      <c r="Z571" s="3" t="s">
        <v>25</v>
      </c>
      <c r="AA571" s="3" t="s">
        <v>25</v>
      </c>
      <c r="AB571" s="3" t="str">
        <f>IF(crimenes_cordoba_ampliado[[#This Row],[Hubo Arresto]]="Sí", "Resuelto", "Pendiente")</f>
        <v>Pendiente</v>
      </c>
      <c r="AC571" s="3" t="s">
        <v>24</v>
      </c>
      <c r="AD571" s="3"/>
    </row>
    <row r="572" spans="1:30" x14ac:dyDescent="0.25">
      <c r="A572">
        <v>557</v>
      </c>
      <c r="B572" s="1">
        <v>44990</v>
      </c>
      <c r="C572" s="33">
        <f t="shared" si="16"/>
        <v>44990</v>
      </c>
      <c r="D572" s="34">
        <f t="shared" si="17"/>
        <v>44990</v>
      </c>
      <c r="E572" s="35" t="s">
        <v>1449</v>
      </c>
      <c r="F572" s="2">
        <v>0.48472222222222222</v>
      </c>
      <c r="G572" s="3" t="s">
        <v>31</v>
      </c>
      <c r="H572" s="3" t="s">
        <v>32</v>
      </c>
      <c r="I572" s="25" t="str">
        <f>VLOOKUP(H572,Tabla5[#All],4,FALSE)</f>
        <v>-31,4148488101991, -64,1793406489438</v>
      </c>
      <c r="J572" s="1">
        <v>22911</v>
      </c>
      <c r="K572" s="7">
        <f>INT((crimenes_cordoba_ampliado[[#This Row],[Fecha]]-crimenes_cordoba_ampliado[[#This Row],[Fecha Nac. Delincuente]])/365)</f>
        <v>60</v>
      </c>
      <c r="L572" s="7" t="str">
        <f>_xlfn.XLOOKUP(crimenes_cordoba_ampliado[[#This Row],[EDAD DELINCUENTE]],'Rango etareo'!$A$10:$A$25,'Rango etareo'!$B$10:$B$25,,-1)</f>
        <v>56 - 65</v>
      </c>
      <c r="M572" s="3" t="s">
        <v>22</v>
      </c>
      <c r="N572" s="3" t="str">
        <f>IF(crimenes_cordoba_ampliado[[#This Row],[Género Delincuente]]="Femenino","🚺","🚹")</f>
        <v>🚹</v>
      </c>
      <c r="O572">
        <v>1</v>
      </c>
      <c r="P572" s="1">
        <v>33681</v>
      </c>
      <c r="Q572" s="7">
        <f>INT((crimenes_cordoba_ampliado[[#This Row],[Fecha]]-crimenes_cordoba_ampliado[[#This Row],[Fecha Nac. Víctima]])/365)</f>
        <v>30</v>
      </c>
      <c r="R572" s="7" t="str">
        <f>_xlfn.XLOOKUP(crimenes_cordoba_ampliado[[#This Row],[EDAD VICTIMA]],'Rango etareo'!$A$2:$A$25,'Rango etareo'!$B$2:$B$25,,-1)</f>
        <v>26 - 35</v>
      </c>
      <c r="S572" s="3" t="s">
        <v>21</v>
      </c>
      <c r="T572" s="3" t="str">
        <f>IF(crimenes_cordoba_ampliado[[#This Row],[Género Víctima]]="Masculino","🚹","🚺")</f>
        <v>🚺</v>
      </c>
      <c r="U572">
        <v>3</v>
      </c>
      <c r="V572" s="3" t="s">
        <v>23</v>
      </c>
      <c r="W572" s="3" t="s">
        <v>24</v>
      </c>
      <c r="X572" s="3" t="s">
        <v>24</v>
      </c>
      <c r="Y572" s="3" t="s">
        <v>72</v>
      </c>
      <c r="Z572" s="3" t="s">
        <v>23</v>
      </c>
      <c r="AA572" s="3" t="s">
        <v>23</v>
      </c>
      <c r="AB572" s="3" t="str">
        <f>IF(crimenes_cordoba_ampliado[[#This Row],[Hubo Arresto]]="Sí", "Resuelto", "Pendiente")</f>
        <v>Resuelto</v>
      </c>
      <c r="AC572" s="3" t="s">
        <v>208</v>
      </c>
      <c r="AD572" s="3"/>
    </row>
    <row r="573" spans="1:30" x14ac:dyDescent="0.25">
      <c r="A573">
        <v>594</v>
      </c>
      <c r="B573" s="1">
        <v>44172</v>
      </c>
      <c r="C573" s="33">
        <f t="shared" si="16"/>
        <v>44172</v>
      </c>
      <c r="D573" s="34">
        <f t="shared" si="17"/>
        <v>44172</v>
      </c>
      <c r="E573" s="35" t="s">
        <v>1452</v>
      </c>
      <c r="F573" s="2">
        <v>0.67777777777777781</v>
      </c>
      <c r="G573" s="3" t="s">
        <v>27</v>
      </c>
      <c r="H573" s="3" t="s">
        <v>52</v>
      </c>
      <c r="I573" s="25" t="str">
        <f>VLOOKUP(H573,Tabla5[#All],4,FALSE)</f>
        <v>-31,3477902896523, -64,2644406169297</v>
      </c>
      <c r="J573" s="1">
        <v>28913</v>
      </c>
      <c r="K573" s="7">
        <f>INT((crimenes_cordoba_ampliado[[#This Row],[Fecha]]-crimenes_cordoba_ampliado[[#This Row],[Fecha Nac. Delincuente]])/365)</f>
        <v>41</v>
      </c>
      <c r="L573" s="7" t="str">
        <f>_xlfn.XLOOKUP(crimenes_cordoba_ampliado[[#This Row],[EDAD DELINCUENTE]],'Rango etareo'!$A$10:$A$25,'Rango etareo'!$B$10:$B$25,,-1)</f>
        <v>36 - 45</v>
      </c>
      <c r="M573" s="3" t="s">
        <v>22</v>
      </c>
      <c r="N573" s="3" t="str">
        <f>IF(crimenes_cordoba_ampliado[[#This Row],[Género Delincuente]]="Femenino","🚺","🚹")</f>
        <v>🚹</v>
      </c>
      <c r="O573">
        <v>1</v>
      </c>
      <c r="P573" s="1">
        <v>25572</v>
      </c>
      <c r="Q573" s="7">
        <f>INT((crimenes_cordoba_ampliado[[#This Row],[Fecha]]-crimenes_cordoba_ampliado[[#This Row],[Fecha Nac. Víctima]])/365)</f>
        <v>50</v>
      </c>
      <c r="R573" s="7" t="str">
        <f>_xlfn.XLOOKUP(crimenes_cordoba_ampliado[[#This Row],[EDAD VICTIMA]],'Rango etareo'!$A$2:$A$25,'Rango etareo'!$B$2:$B$25,,-1)</f>
        <v>46 - 55</v>
      </c>
      <c r="S573" s="3" t="s">
        <v>22</v>
      </c>
      <c r="T573" s="3" t="str">
        <f>IF(crimenes_cordoba_ampliado[[#This Row],[Género Víctima]]="Masculino","🚹","🚺")</f>
        <v>🚹</v>
      </c>
      <c r="U573">
        <v>1</v>
      </c>
      <c r="V573" s="3" t="s">
        <v>25</v>
      </c>
      <c r="W573" s="3" t="s">
        <v>24</v>
      </c>
      <c r="X573" s="3" t="s">
        <v>50</v>
      </c>
      <c r="Y573" s="3" t="s">
        <v>24</v>
      </c>
      <c r="Z573" s="3" t="s">
        <v>23</v>
      </c>
      <c r="AA573" s="3" t="s">
        <v>23</v>
      </c>
      <c r="AB573" s="3" t="str">
        <f>IF(crimenes_cordoba_ampliado[[#This Row],[Hubo Arresto]]="Sí", "Resuelto", "Pendiente")</f>
        <v>Pendiente</v>
      </c>
      <c r="AC573" s="3" t="s">
        <v>24</v>
      </c>
      <c r="AD573" s="3"/>
    </row>
    <row r="574" spans="1:30" x14ac:dyDescent="0.25">
      <c r="A574">
        <v>493</v>
      </c>
      <c r="B574" s="1">
        <v>44180</v>
      </c>
      <c r="C574" s="33">
        <f t="shared" si="16"/>
        <v>44180</v>
      </c>
      <c r="D574" s="34">
        <f t="shared" si="17"/>
        <v>44180</v>
      </c>
      <c r="E574" s="35" t="s">
        <v>1453</v>
      </c>
      <c r="F574" s="2">
        <v>0.27569444444444446</v>
      </c>
      <c r="G574" s="3" t="s">
        <v>48</v>
      </c>
      <c r="H574" s="3" t="s">
        <v>65</v>
      </c>
      <c r="I574" s="25" t="str">
        <f>VLOOKUP(H574,Tabla5[#All],4,FALSE)</f>
        <v>-31,4285567311661, -64,1853198281007</v>
      </c>
      <c r="J574" s="1">
        <v>23371</v>
      </c>
      <c r="K574" s="7">
        <f>INT((crimenes_cordoba_ampliado[[#This Row],[Fecha]]-crimenes_cordoba_ampliado[[#This Row],[Fecha Nac. Delincuente]])/365)</f>
        <v>57</v>
      </c>
      <c r="L574" s="7" t="str">
        <f>_xlfn.XLOOKUP(crimenes_cordoba_ampliado[[#This Row],[EDAD DELINCUENTE]],'Rango etareo'!$A$10:$A$25,'Rango etareo'!$B$10:$B$25,,-1)</f>
        <v>56 - 65</v>
      </c>
      <c r="M574" s="3" t="s">
        <v>21</v>
      </c>
      <c r="N574" s="3" t="str">
        <f>IF(crimenes_cordoba_ampliado[[#This Row],[Género Delincuente]]="Femenino","🚺","🚹")</f>
        <v>🚺</v>
      </c>
      <c r="O574">
        <v>4</v>
      </c>
      <c r="P574" s="1">
        <v>41166</v>
      </c>
      <c r="Q574" s="7">
        <f>INT((crimenes_cordoba_ampliado[[#This Row],[Fecha]]-crimenes_cordoba_ampliado[[#This Row],[Fecha Nac. Víctima]])/365)</f>
        <v>8</v>
      </c>
      <c r="R574" s="7" t="str">
        <f>_xlfn.XLOOKUP(crimenes_cordoba_ampliado[[#This Row],[EDAD VICTIMA]],'Rango etareo'!$A$2:$A$25,'Rango etareo'!$B$2:$B$25,,-1)</f>
        <v>&lt;=17</v>
      </c>
      <c r="S574" s="3" t="s">
        <v>22</v>
      </c>
      <c r="T574" s="3" t="str">
        <f>IF(crimenes_cordoba_ampliado[[#This Row],[Género Víctima]]="Masculino","🚹","🚺")</f>
        <v>🚹</v>
      </c>
      <c r="U574">
        <v>3</v>
      </c>
      <c r="V574" s="3" t="s">
        <v>25</v>
      </c>
      <c r="W574" s="3" t="s">
        <v>24</v>
      </c>
      <c r="X574" s="3" t="s">
        <v>50</v>
      </c>
      <c r="Y574" s="3" t="s">
        <v>24</v>
      </c>
      <c r="Z574" s="3" t="s">
        <v>25</v>
      </c>
      <c r="AA574" s="3" t="s">
        <v>23</v>
      </c>
      <c r="AB574" s="3" t="str">
        <f>IF(crimenes_cordoba_ampliado[[#This Row],[Hubo Arresto]]="Sí", "Resuelto", "Pendiente")</f>
        <v>Pendiente</v>
      </c>
      <c r="AC574" s="3" t="s">
        <v>24</v>
      </c>
      <c r="AD574" s="3"/>
    </row>
    <row r="575" spans="1:30" x14ac:dyDescent="0.25">
      <c r="A575">
        <v>559</v>
      </c>
      <c r="B575" s="1">
        <v>42732</v>
      </c>
      <c r="C575" s="33">
        <f t="shared" si="16"/>
        <v>42732</v>
      </c>
      <c r="D575" s="34">
        <f t="shared" si="17"/>
        <v>42732</v>
      </c>
      <c r="E575" s="35" t="s">
        <v>1450</v>
      </c>
      <c r="F575" s="2">
        <v>0.74652777777777779</v>
      </c>
      <c r="G575" s="3" t="s">
        <v>54</v>
      </c>
      <c r="H575" s="3" t="s">
        <v>60</v>
      </c>
      <c r="I575" s="25" t="str">
        <f>VLOOKUP(H575,Tabla5[#All],4,FALSE)</f>
        <v>-31,4076397196409, -64,2020170430678</v>
      </c>
      <c r="J575" s="1">
        <v>30639</v>
      </c>
      <c r="K575" s="7">
        <f>INT((crimenes_cordoba_ampliado[[#This Row],[Fecha]]-crimenes_cordoba_ampliado[[#This Row],[Fecha Nac. Delincuente]])/365)</f>
        <v>33</v>
      </c>
      <c r="L575" s="7" t="str">
        <f>_xlfn.XLOOKUP(crimenes_cordoba_ampliado[[#This Row],[EDAD DELINCUENTE]],'Rango etareo'!$A$10:$A$25,'Rango etareo'!$B$10:$B$25,,-1)</f>
        <v>26 - 35</v>
      </c>
      <c r="M575" s="3" t="s">
        <v>21</v>
      </c>
      <c r="N575" s="3" t="str">
        <f>IF(crimenes_cordoba_ampliado[[#This Row],[Género Delincuente]]="Femenino","🚺","🚹")</f>
        <v>🚺</v>
      </c>
      <c r="O575">
        <v>4</v>
      </c>
      <c r="P575" s="1">
        <v>32960</v>
      </c>
      <c r="Q575" s="7">
        <f>INT((crimenes_cordoba_ampliado[[#This Row],[Fecha]]-crimenes_cordoba_ampliado[[#This Row],[Fecha Nac. Víctima]])/365)</f>
        <v>26</v>
      </c>
      <c r="R575" s="7" t="str">
        <f>_xlfn.XLOOKUP(crimenes_cordoba_ampliado[[#This Row],[EDAD VICTIMA]],'Rango etareo'!$A$2:$A$25,'Rango etareo'!$B$2:$B$25,,-1)</f>
        <v>26 - 35</v>
      </c>
      <c r="S575" s="3" t="s">
        <v>21</v>
      </c>
      <c r="T575" s="3" t="str">
        <f>IF(crimenes_cordoba_ampliado[[#This Row],[Género Víctima]]="Masculino","🚹","🚺")</f>
        <v>🚺</v>
      </c>
      <c r="U575">
        <v>1</v>
      </c>
      <c r="V575" s="3" t="s">
        <v>23</v>
      </c>
      <c r="W575" s="3" t="s">
        <v>24</v>
      </c>
      <c r="X575" s="3" t="s">
        <v>50</v>
      </c>
      <c r="Y575" s="3" t="s">
        <v>24</v>
      </c>
      <c r="Z575" s="3" t="s">
        <v>25</v>
      </c>
      <c r="AA575" s="3" t="s">
        <v>25</v>
      </c>
      <c r="AB575" s="3" t="str">
        <f>IF(crimenes_cordoba_ampliado[[#This Row],[Hubo Arresto]]="Sí", "Resuelto", "Pendiente")</f>
        <v>Resuelto</v>
      </c>
      <c r="AC575" s="3" t="s">
        <v>162</v>
      </c>
      <c r="AD575" s="3"/>
    </row>
    <row r="576" spans="1:30" x14ac:dyDescent="0.25">
      <c r="A576">
        <v>560</v>
      </c>
      <c r="B576" s="1">
        <v>44649</v>
      </c>
      <c r="C576" s="33">
        <f t="shared" si="16"/>
        <v>44649</v>
      </c>
      <c r="D576" s="34">
        <f t="shared" si="17"/>
        <v>44649</v>
      </c>
      <c r="E576" s="35" t="s">
        <v>1453</v>
      </c>
      <c r="F576" s="2">
        <v>0.98333333333333328</v>
      </c>
      <c r="G576" s="3" t="s">
        <v>38</v>
      </c>
      <c r="H576" s="3" t="s">
        <v>28</v>
      </c>
      <c r="I576" s="25" t="str">
        <f>VLOOKUP(H576,Tabla5[#All],4,FALSE)</f>
        <v>-31,4129883640337, -64,1681120522587</v>
      </c>
      <c r="J576" s="1">
        <v>28942</v>
      </c>
      <c r="K576" s="7">
        <f>INT((crimenes_cordoba_ampliado[[#This Row],[Fecha]]-crimenes_cordoba_ampliado[[#This Row],[Fecha Nac. Delincuente]])/365)</f>
        <v>43</v>
      </c>
      <c r="L576" s="7" t="str">
        <f>_xlfn.XLOOKUP(crimenes_cordoba_ampliado[[#This Row],[EDAD DELINCUENTE]],'Rango etareo'!$A$10:$A$25,'Rango etareo'!$B$10:$B$25,,-1)</f>
        <v>36 - 45</v>
      </c>
      <c r="M576" s="3" t="s">
        <v>22</v>
      </c>
      <c r="N576" s="3" t="str">
        <f>IF(crimenes_cordoba_ampliado[[#This Row],[Género Delincuente]]="Femenino","🚺","🚹")</f>
        <v>🚹</v>
      </c>
      <c r="O576">
        <v>2</v>
      </c>
      <c r="P576" s="1">
        <v>40072</v>
      </c>
      <c r="Q576" s="7">
        <f>INT((crimenes_cordoba_ampliado[[#This Row],[Fecha]]-crimenes_cordoba_ampliado[[#This Row],[Fecha Nac. Víctima]])/365)</f>
        <v>12</v>
      </c>
      <c r="R576" s="7" t="str">
        <f>_xlfn.XLOOKUP(crimenes_cordoba_ampliado[[#This Row],[EDAD VICTIMA]],'Rango etareo'!$A$2:$A$25,'Rango etareo'!$B$2:$B$25,,-1)</f>
        <v>&lt;=17</v>
      </c>
      <c r="S576" s="3" t="s">
        <v>22</v>
      </c>
      <c r="T576" s="3" t="str">
        <f>IF(crimenes_cordoba_ampliado[[#This Row],[Género Víctima]]="Masculino","🚹","🚺")</f>
        <v>🚹</v>
      </c>
      <c r="U576">
        <v>2</v>
      </c>
      <c r="V576" s="3" t="s">
        <v>23</v>
      </c>
      <c r="W576" s="3" t="s">
        <v>24</v>
      </c>
      <c r="X576" s="3" t="s">
        <v>24</v>
      </c>
      <c r="Y576" s="3" t="s">
        <v>86</v>
      </c>
      <c r="Z576" s="3" t="s">
        <v>23</v>
      </c>
      <c r="AA576" s="3" t="s">
        <v>25</v>
      </c>
      <c r="AB576" s="3" t="str">
        <f>IF(crimenes_cordoba_ampliado[[#This Row],[Hubo Arresto]]="Sí", "Resuelto", "Pendiente")</f>
        <v>Resuelto</v>
      </c>
      <c r="AC576" s="3" t="s">
        <v>189</v>
      </c>
      <c r="AD576" s="3"/>
    </row>
    <row r="577" spans="1:30" x14ac:dyDescent="0.25">
      <c r="A577">
        <v>635</v>
      </c>
      <c r="B577" s="1">
        <v>44193</v>
      </c>
      <c r="C577" s="33">
        <f t="shared" si="16"/>
        <v>44193</v>
      </c>
      <c r="D577" s="34">
        <f t="shared" si="17"/>
        <v>44193</v>
      </c>
      <c r="E577" s="35" t="s">
        <v>1452</v>
      </c>
      <c r="F577" s="2">
        <v>0.51458333333333328</v>
      </c>
      <c r="G577" s="3" t="s">
        <v>27</v>
      </c>
      <c r="H577" s="3" t="s">
        <v>40</v>
      </c>
      <c r="I577" s="25" t="str">
        <f>VLOOKUP(H577,Tabla5[#All],4,FALSE)</f>
        <v>-31,334500143441, -64,2460773260564</v>
      </c>
      <c r="J577" s="1">
        <v>30652</v>
      </c>
      <c r="K577" s="7">
        <f>INT((crimenes_cordoba_ampliado[[#This Row],[Fecha]]-crimenes_cordoba_ampliado[[#This Row],[Fecha Nac. Delincuente]])/365)</f>
        <v>37</v>
      </c>
      <c r="L577" s="7" t="str">
        <f>_xlfn.XLOOKUP(crimenes_cordoba_ampliado[[#This Row],[EDAD DELINCUENTE]],'Rango etareo'!$A$10:$A$25,'Rango etareo'!$B$10:$B$25,,-1)</f>
        <v>36 - 45</v>
      </c>
      <c r="M577" s="3" t="s">
        <v>22</v>
      </c>
      <c r="N577" s="3" t="str">
        <f>IF(crimenes_cordoba_ampliado[[#This Row],[Género Delincuente]]="Femenino","🚺","🚹")</f>
        <v>🚹</v>
      </c>
      <c r="O577">
        <v>3</v>
      </c>
      <c r="P577" s="1">
        <v>21962</v>
      </c>
      <c r="Q577" s="7">
        <f>INT((crimenes_cordoba_ampliado[[#This Row],[Fecha]]-crimenes_cordoba_ampliado[[#This Row],[Fecha Nac. Víctima]])/365)</f>
        <v>60</v>
      </c>
      <c r="R577" s="7" t="str">
        <f>_xlfn.XLOOKUP(crimenes_cordoba_ampliado[[#This Row],[EDAD VICTIMA]],'Rango etareo'!$A$2:$A$25,'Rango etareo'!$B$2:$B$25,,-1)</f>
        <v>56 - 65</v>
      </c>
      <c r="S577" s="3" t="s">
        <v>21</v>
      </c>
      <c r="T577" s="3" t="str">
        <f>IF(crimenes_cordoba_ampliado[[#This Row],[Género Víctima]]="Masculino","🚹","🚺")</f>
        <v>🚺</v>
      </c>
      <c r="U577">
        <v>1</v>
      </c>
      <c r="V577" s="3" t="s">
        <v>25</v>
      </c>
      <c r="W577" s="3" t="s">
        <v>24</v>
      </c>
      <c r="X577" s="3" t="s">
        <v>24</v>
      </c>
      <c r="Y577" s="3" t="s">
        <v>72</v>
      </c>
      <c r="Z577" s="3" t="s">
        <v>25</v>
      </c>
      <c r="AA577" s="3" t="s">
        <v>23</v>
      </c>
      <c r="AB577" s="3" t="str">
        <f>IF(crimenes_cordoba_ampliado[[#This Row],[Hubo Arresto]]="Sí", "Resuelto", "Pendiente")</f>
        <v>Pendiente</v>
      </c>
      <c r="AC577" s="3" t="s">
        <v>24</v>
      </c>
      <c r="AD577" s="3"/>
    </row>
    <row r="578" spans="1:30" x14ac:dyDescent="0.25">
      <c r="A578">
        <v>62</v>
      </c>
      <c r="B578" s="1">
        <v>44194</v>
      </c>
      <c r="C578" s="33">
        <f t="shared" ref="C578:C641" si="18">B:B</f>
        <v>44194</v>
      </c>
      <c r="D578" s="34">
        <f t="shared" ref="D578:D641" si="19">B:B</f>
        <v>44194</v>
      </c>
      <c r="E578" s="35" t="s">
        <v>1453</v>
      </c>
      <c r="F578" s="2">
        <v>0.65138888888888891</v>
      </c>
      <c r="G578" s="3" t="s">
        <v>31</v>
      </c>
      <c r="H578" s="3" t="s">
        <v>62</v>
      </c>
      <c r="I578" s="25" t="str">
        <f>VLOOKUP(H578,Tabla5[#All],4,FALSE)</f>
        <v>-31,3909520937826, -64,1836424491715</v>
      </c>
      <c r="J578" s="1">
        <v>19223</v>
      </c>
      <c r="K578" s="7">
        <f>INT((crimenes_cordoba_ampliado[[#This Row],[Fecha]]-crimenes_cordoba_ampliado[[#This Row],[Fecha Nac. Delincuente]])/365)</f>
        <v>68</v>
      </c>
      <c r="L578" s="7" t="str">
        <f>_xlfn.XLOOKUP(crimenes_cordoba_ampliado[[#This Row],[EDAD DELINCUENTE]],'Rango etareo'!$A$10:$A$25,'Rango etareo'!$B$10:$B$25,,-1)</f>
        <v>&gt;65</v>
      </c>
      <c r="M578" s="3" t="s">
        <v>22</v>
      </c>
      <c r="N578" s="3" t="str">
        <f>IF(crimenes_cordoba_ampliado[[#This Row],[Género Delincuente]]="Femenino","🚺","🚹")</f>
        <v>🚹</v>
      </c>
      <c r="O578">
        <v>4</v>
      </c>
      <c r="P578" s="1">
        <v>39643</v>
      </c>
      <c r="Q578" s="7">
        <f>INT((crimenes_cordoba_ampliado[[#This Row],[Fecha]]-crimenes_cordoba_ampliado[[#This Row],[Fecha Nac. Víctima]])/365)</f>
        <v>12</v>
      </c>
      <c r="R578" s="7" t="str">
        <f>_xlfn.XLOOKUP(crimenes_cordoba_ampliado[[#This Row],[EDAD VICTIMA]],'Rango etareo'!$A$2:$A$25,'Rango etareo'!$B$2:$B$25,,-1)</f>
        <v>&lt;=17</v>
      </c>
      <c r="S578" s="3" t="s">
        <v>22</v>
      </c>
      <c r="T578" s="3" t="str">
        <f>IF(crimenes_cordoba_ampliado[[#This Row],[Género Víctima]]="Masculino","🚹","🚺")</f>
        <v>🚹</v>
      </c>
      <c r="U578">
        <v>1</v>
      </c>
      <c r="V578" s="3" t="s">
        <v>25</v>
      </c>
      <c r="W578" s="3" t="s">
        <v>24</v>
      </c>
      <c r="X578" s="3" t="s">
        <v>24</v>
      </c>
      <c r="Y578" s="3" t="s">
        <v>72</v>
      </c>
      <c r="Z578" s="3" t="s">
        <v>25</v>
      </c>
      <c r="AA578" s="3" t="s">
        <v>25</v>
      </c>
      <c r="AB578" s="3" t="str">
        <f>IF(crimenes_cordoba_ampliado[[#This Row],[Hubo Arresto]]="Sí", "Resuelto", "Pendiente")</f>
        <v>Pendiente</v>
      </c>
      <c r="AC578" s="3" t="s">
        <v>24</v>
      </c>
      <c r="AD578" s="3"/>
    </row>
    <row r="579" spans="1:30" x14ac:dyDescent="0.25">
      <c r="A579">
        <v>561</v>
      </c>
      <c r="B579" s="1">
        <v>45261</v>
      </c>
      <c r="C579" s="33">
        <f t="shared" si="18"/>
        <v>45261</v>
      </c>
      <c r="D579" s="34">
        <f t="shared" si="19"/>
        <v>45261</v>
      </c>
      <c r="E579" s="35" t="s">
        <v>1455</v>
      </c>
      <c r="F579" s="2">
        <v>0.16458333333333333</v>
      </c>
      <c r="G579" s="3" t="s">
        <v>48</v>
      </c>
      <c r="H579" s="3" t="s">
        <v>70</v>
      </c>
      <c r="I579" s="25" t="str">
        <f>VLOOKUP(H579,Tabla5[#All],4,FALSE)</f>
        <v>-31,3759272890294, -64,2284587792478</v>
      </c>
      <c r="J579" s="1">
        <v>33044</v>
      </c>
      <c r="K579" s="7">
        <f>INT((crimenes_cordoba_ampliado[[#This Row],[Fecha]]-crimenes_cordoba_ampliado[[#This Row],[Fecha Nac. Delincuente]])/365)</f>
        <v>33</v>
      </c>
      <c r="L579" s="7" t="str">
        <f>_xlfn.XLOOKUP(crimenes_cordoba_ampliado[[#This Row],[EDAD DELINCUENTE]],'Rango etareo'!$A$10:$A$25,'Rango etareo'!$B$10:$B$25,,-1)</f>
        <v>26 - 35</v>
      </c>
      <c r="M579" s="3" t="s">
        <v>21</v>
      </c>
      <c r="N579" s="3" t="str">
        <f>IF(crimenes_cordoba_ampliado[[#This Row],[Género Delincuente]]="Femenino","🚺","🚹")</f>
        <v>🚺</v>
      </c>
      <c r="O579">
        <v>5</v>
      </c>
      <c r="P579" s="1">
        <v>33841</v>
      </c>
      <c r="Q579" s="7">
        <f>INT((crimenes_cordoba_ampliado[[#This Row],[Fecha]]-crimenes_cordoba_ampliado[[#This Row],[Fecha Nac. Víctima]])/365)</f>
        <v>31</v>
      </c>
      <c r="R579" s="7" t="str">
        <f>_xlfn.XLOOKUP(crimenes_cordoba_ampliado[[#This Row],[EDAD VICTIMA]],'Rango etareo'!$A$2:$A$25,'Rango etareo'!$B$2:$B$25,,-1)</f>
        <v>26 - 35</v>
      </c>
      <c r="S579" s="3" t="s">
        <v>22</v>
      </c>
      <c r="T579" s="3" t="str">
        <f>IF(crimenes_cordoba_ampliado[[#This Row],[Género Víctima]]="Masculino","🚹","🚺")</f>
        <v>🚹</v>
      </c>
      <c r="U579">
        <v>3</v>
      </c>
      <c r="V579" s="3" t="s">
        <v>23</v>
      </c>
      <c r="W579" s="3" t="s">
        <v>24</v>
      </c>
      <c r="X579" s="3" t="s">
        <v>24</v>
      </c>
      <c r="Y579" s="3" t="s">
        <v>86</v>
      </c>
      <c r="Z579" s="3" t="s">
        <v>25</v>
      </c>
      <c r="AA579" s="3" t="s">
        <v>25</v>
      </c>
      <c r="AB579" s="3" t="str">
        <f>IF(crimenes_cordoba_ampliado[[#This Row],[Hubo Arresto]]="Sí", "Resuelto", "Pendiente")</f>
        <v>Resuelto</v>
      </c>
      <c r="AC579" s="3" t="s">
        <v>150</v>
      </c>
      <c r="AD579" s="3"/>
    </row>
    <row r="580" spans="1:30" x14ac:dyDescent="0.25">
      <c r="A580">
        <v>649</v>
      </c>
      <c r="B580" s="1">
        <v>44200</v>
      </c>
      <c r="C580" s="33">
        <f t="shared" si="18"/>
        <v>44200</v>
      </c>
      <c r="D580" s="34">
        <f t="shared" si="19"/>
        <v>44200</v>
      </c>
      <c r="E580" s="35" t="s">
        <v>1452</v>
      </c>
      <c r="F580" s="2">
        <v>0.48055555555555557</v>
      </c>
      <c r="G580" s="3" t="s">
        <v>38</v>
      </c>
      <c r="H580" s="3" t="s">
        <v>62</v>
      </c>
      <c r="I580" s="25" t="str">
        <f>VLOOKUP(H580,Tabla5[#All],4,FALSE)</f>
        <v>-31,3909520937826, -64,1836424491715</v>
      </c>
      <c r="J580" s="1">
        <v>28445</v>
      </c>
      <c r="K580" s="7">
        <f>INT((crimenes_cordoba_ampliado[[#This Row],[Fecha]]-crimenes_cordoba_ampliado[[#This Row],[Fecha Nac. Delincuente]])/365)</f>
        <v>43</v>
      </c>
      <c r="L580" s="7" t="str">
        <f>_xlfn.XLOOKUP(crimenes_cordoba_ampliado[[#This Row],[EDAD DELINCUENTE]],'Rango etareo'!$A$10:$A$25,'Rango etareo'!$B$10:$B$25,,-1)</f>
        <v>36 - 45</v>
      </c>
      <c r="M580" s="3" t="s">
        <v>21</v>
      </c>
      <c r="N580" s="3" t="str">
        <f>IF(crimenes_cordoba_ampliado[[#This Row],[Género Delincuente]]="Femenino","🚺","🚹")</f>
        <v>🚺</v>
      </c>
      <c r="O580">
        <v>1</v>
      </c>
      <c r="P580" s="1">
        <v>19029</v>
      </c>
      <c r="Q580" s="7">
        <f>INT((crimenes_cordoba_ampliado[[#This Row],[Fecha]]-crimenes_cordoba_ampliado[[#This Row],[Fecha Nac. Víctima]])/365)</f>
        <v>68</v>
      </c>
      <c r="R580" s="7" t="str">
        <f>_xlfn.XLOOKUP(crimenes_cordoba_ampliado[[#This Row],[EDAD VICTIMA]],'Rango etareo'!$A$2:$A$25,'Rango etareo'!$B$2:$B$25,,-1)</f>
        <v>&gt;65</v>
      </c>
      <c r="S580" s="3" t="s">
        <v>22</v>
      </c>
      <c r="T580" s="3" t="str">
        <f>IF(crimenes_cordoba_ampliado[[#This Row],[Género Víctima]]="Masculino","🚹","🚺")</f>
        <v>🚹</v>
      </c>
      <c r="U580">
        <v>3</v>
      </c>
      <c r="V580" s="3" t="s">
        <v>25</v>
      </c>
      <c r="W580" s="3" t="s">
        <v>24</v>
      </c>
      <c r="X580" s="3" t="s">
        <v>29</v>
      </c>
      <c r="Y580" s="3" t="s">
        <v>24</v>
      </c>
      <c r="Z580" s="3" t="s">
        <v>25</v>
      </c>
      <c r="AA580" s="3" t="s">
        <v>23</v>
      </c>
      <c r="AB580" s="3" t="str">
        <f>IF(crimenes_cordoba_ampliado[[#This Row],[Hubo Arresto]]="Sí", "Resuelto", "Pendiente")</f>
        <v>Pendiente</v>
      </c>
      <c r="AC580" s="3" t="s">
        <v>24</v>
      </c>
      <c r="AD580" s="3"/>
    </row>
    <row r="581" spans="1:30" x14ac:dyDescent="0.25">
      <c r="A581">
        <v>564</v>
      </c>
      <c r="B581" s="1">
        <v>42446</v>
      </c>
      <c r="C581" s="33">
        <f t="shared" si="18"/>
        <v>42446</v>
      </c>
      <c r="D581" s="34">
        <f t="shared" si="19"/>
        <v>42446</v>
      </c>
      <c r="E581" s="35" t="s">
        <v>1454</v>
      </c>
      <c r="F581" s="2">
        <v>0.68680555555555556</v>
      </c>
      <c r="G581" s="3" t="s">
        <v>51</v>
      </c>
      <c r="H581" s="3" t="s">
        <v>55</v>
      </c>
      <c r="I581" s="25" t="str">
        <f>VLOOKUP(H581,Tabla5[#All],4,FALSE)</f>
        <v>-31,4015892433235, -64,160442876477</v>
      </c>
      <c r="J581" s="1">
        <v>23999</v>
      </c>
      <c r="K581" s="7">
        <f>INT((crimenes_cordoba_ampliado[[#This Row],[Fecha]]-crimenes_cordoba_ampliado[[#This Row],[Fecha Nac. Delincuente]])/365)</f>
        <v>50</v>
      </c>
      <c r="L581" s="7" t="str">
        <f>_xlfn.XLOOKUP(crimenes_cordoba_ampliado[[#This Row],[EDAD DELINCUENTE]],'Rango etareo'!$A$10:$A$25,'Rango etareo'!$B$10:$B$25,,-1)</f>
        <v>46 - 55</v>
      </c>
      <c r="M581" s="3" t="s">
        <v>22</v>
      </c>
      <c r="N581" s="3" t="str">
        <f>IF(crimenes_cordoba_ampliado[[#This Row],[Género Delincuente]]="Femenino","🚺","🚹")</f>
        <v>🚹</v>
      </c>
      <c r="O581">
        <v>5</v>
      </c>
      <c r="P581" s="1">
        <v>36671</v>
      </c>
      <c r="Q581" s="7">
        <f>INT((crimenes_cordoba_ampliado[[#This Row],[Fecha]]-crimenes_cordoba_ampliado[[#This Row],[Fecha Nac. Víctima]])/365)</f>
        <v>15</v>
      </c>
      <c r="R581" s="7" t="str">
        <f>_xlfn.XLOOKUP(crimenes_cordoba_ampliado[[#This Row],[EDAD VICTIMA]],'Rango etareo'!$A$2:$A$25,'Rango etareo'!$B$2:$B$25,,-1)</f>
        <v>&lt;=17</v>
      </c>
      <c r="S581" s="3" t="s">
        <v>22</v>
      </c>
      <c r="T581" s="3" t="str">
        <f>IF(crimenes_cordoba_ampliado[[#This Row],[Género Víctima]]="Masculino","🚹","🚺")</f>
        <v>🚹</v>
      </c>
      <c r="U581">
        <v>1</v>
      </c>
      <c r="V581" s="3" t="s">
        <v>23</v>
      </c>
      <c r="W581" s="3" t="s">
        <v>24</v>
      </c>
      <c r="X581" s="3" t="s">
        <v>24</v>
      </c>
      <c r="Y581" s="3" t="s">
        <v>46</v>
      </c>
      <c r="Z581" s="3" t="s">
        <v>23</v>
      </c>
      <c r="AA581" s="3" t="s">
        <v>23</v>
      </c>
      <c r="AB581" s="3" t="str">
        <f>IF(crimenes_cordoba_ampliado[[#This Row],[Hubo Arresto]]="Sí", "Resuelto", "Pendiente")</f>
        <v>Resuelto</v>
      </c>
      <c r="AC581" s="3" t="s">
        <v>34</v>
      </c>
      <c r="AD581" s="3"/>
    </row>
    <row r="582" spans="1:30" x14ac:dyDescent="0.25">
      <c r="A582">
        <v>566</v>
      </c>
      <c r="B582" s="1">
        <v>43038</v>
      </c>
      <c r="C582" s="33">
        <f t="shared" si="18"/>
        <v>43038</v>
      </c>
      <c r="D582" s="34">
        <f t="shared" si="19"/>
        <v>43038</v>
      </c>
      <c r="E582" s="35" t="s">
        <v>1452</v>
      </c>
      <c r="F582" s="2">
        <v>0.68333333333333335</v>
      </c>
      <c r="G582" s="3" t="s">
        <v>81</v>
      </c>
      <c r="H582" s="3" t="s">
        <v>70</v>
      </c>
      <c r="I582" s="25" t="str">
        <f>VLOOKUP(H582,Tabla5[#All],4,FALSE)</f>
        <v>-31,3759272890294, -64,2284587792478</v>
      </c>
      <c r="J582" s="1">
        <v>32697</v>
      </c>
      <c r="K582" s="7">
        <f>INT((crimenes_cordoba_ampliado[[#This Row],[Fecha]]-crimenes_cordoba_ampliado[[#This Row],[Fecha Nac. Delincuente]])/365)</f>
        <v>28</v>
      </c>
      <c r="L582" s="7" t="str">
        <f>_xlfn.XLOOKUP(crimenes_cordoba_ampliado[[#This Row],[EDAD DELINCUENTE]],'Rango etareo'!$A$10:$A$25,'Rango etareo'!$B$10:$B$25,,-1)</f>
        <v>26 - 35</v>
      </c>
      <c r="M582" s="3" t="s">
        <v>22</v>
      </c>
      <c r="N582" s="3" t="str">
        <f>IF(crimenes_cordoba_ampliado[[#This Row],[Género Delincuente]]="Femenino","🚺","🚹")</f>
        <v>🚹</v>
      </c>
      <c r="O582">
        <v>4</v>
      </c>
      <c r="P582" s="1">
        <v>38874</v>
      </c>
      <c r="Q582" s="7">
        <f>INT((crimenes_cordoba_ampliado[[#This Row],[Fecha]]-crimenes_cordoba_ampliado[[#This Row],[Fecha Nac. Víctima]])/365)</f>
        <v>11</v>
      </c>
      <c r="R582" s="7" t="str">
        <f>_xlfn.XLOOKUP(crimenes_cordoba_ampliado[[#This Row],[EDAD VICTIMA]],'Rango etareo'!$A$2:$A$25,'Rango etareo'!$B$2:$B$25,,-1)</f>
        <v>&lt;=17</v>
      </c>
      <c r="S582" s="3" t="s">
        <v>22</v>
      </c>
      <c r="T582" s="3" t="str">
        <f>IF(crimenes_cordoba_ampliado[[#This Row],[Género Víctima]]="Masculino","🚹","🚺")</f>
        <v>🚹</v>
      </c>
      <c r="U582">
        <v>3</v>
      </c>
      <c r="V582" s="3" t="s">
        <v>23</v>
      </c>
      <c r="W582" s="3" t="s">
        <v>24</v>
      </c>
      <c r="X582" s="3" t="s">
        <v>24</v>
      </c>
      <c r="Y582" s="3" t="s">
        <v>43</v>
      </c>
      <c r="Z582" s="3" t="s">
        <v>25</v>
      </c>
      <c r="AA582" s="3" t="s">
        <v>23</v>
      </c>
      <c r="AB582" s="3" t="str">
        <f>IF(crimenes_cordoba_ampliado[[#This Row],[Hubo Arresto]]="Sí", "Resuelto", "Pendiente")</f>
        <v>Resuelto</v>
      </c>
      <c r="AC582" s="3" t="s">
        <v>270</v>
      </c>
      <c r="AD582" s="3"/>
    </row>
    <row r="583" spans="1:30" x14ac:dyDescent="0.25">
      <c r="A583">
        <v>567</v>
      </c>
      <c r="B583" s="1">
        <v>45412</v>
      </c>
      <c r="C583" s="33">
        <f t="shared" si="18"/>
        <v>45412</v>
      </c>
      <c r="D583" s="34">
        <f t="shared" si="19"/>
        <v>45412</v>
      </c>
      <c r="E583" s="35" t="s">
        <v>1453</v>
      </c>
      <c r="F583" s="2">
        <v>0.95972222222222225</v>
      </c>
      <c r="G583" s="3" t="s">
        <v>81</v>
      </c>
      <c r="H583" s="3" t="s">
        <v>65</v>
      </c>
      <c r="I583" s="25" t="str">
        <f>VLOOKUP(H583,Tabla5[#All],4,FALSE)</f>
        <v>-31,4285567311661, -64,1853198281007</v>
      </c>
      <c r="J583" s="1">
        <v>20266</v>
      </c>
      <c r="K583" s="7">
        <f>INT((crimenes_cordoba_ampliado[[#This Row],[Fecha]]-crimenes_cordoba_ampliado[[#This Row],[Fecha Nac. Delincuente]])/365)</f>
        <v>68</v>
      </c>
      <c r="L583" s="7" t="str">
        <f>_xlfn.XLOOKUP(crimenes_cordoba_ampliado[[#This Row],[EDAD DELINCUENTE]],'Rango etareo'!$A$10:$A$25,'Rango etareo'!$B$10:$B$25,,-1)</f>
        <v>&gt;65</v>
      </c>
      <c r="M583" s="3" t="s">
        <v>22</v>
      </c>
      <c r="N583" s="3" t="str">
        <f>IF(crimenes_cordoba_ampliado[[#This Row],[Género Delincuente]]="Femenino","🚺","🚹")</f>
        <v>🚹</v>
      </c>
      <c r="O583">
        <v>5</v>
      </c>
      <c r="P583" s="1">
        <v>34690</v>
      </c>
      <c r="Q583" s="7">
        <f>INT((crimenes_cordoba_ampliado[[#This Row],[Fecha]]-crimenes_cordoba_ampliado[[#This Row],[Fecha Nac. Víctima]])/365)</f>
        <v>29</v>
      </c>
      <c r="R583" s="7" t="str">
        <f>_xlfn.XLOOKUP(crimenes_cordoba_ampliado[[#This Row],[EDAD VICTIMA]],'Rango etareo'!$A$2:$A$25,'Rango etareo'!$B$2:$B$25,,-1)</f>
        <v>26 - 35</v>
      </c>
      <c r="S583" s="3" t="s">
        <v>21</v>
      </c>
      <c r="T583" s="3" t="str">
        <f>IF(crimenes_cordoba_ampliado[[#This Row],[Género Víctima]]="Masculino","🚹","🚺")</f>
        <v>🚺</v>
      </c>
      <c r="U583">
        <v>3</v>
      </c>
      <c r="V583" s="3" t="s">
        <v>23</v>
      </c>
      <c r="W583" s="3" t="s">
        <v>83</v>
      </c>
      <c r="X583" s="3" t="s">
        <v>24</v>
      </c>
      <c r="Y583" s="3" t="s">
        <v>99</v>
      </c>
      <c r="Z583" s="3" t="s">
        <v>25</v>
      </c>
      <c r="AA583" s="3" t="s">
        <v>25</v>
      </c>
      <c r="AB583" s="3" t="str">
        <f>IF(crimenes_cordoba_ampliado[[#This Row],[Hubo Arresto]]="Sí", "Resuelto", "Pendiente")</f>
        <v>Resuelto</v>
      </c>
      <c r="AC583" s="3" t="s">
        <v>271</v>
      </c>
      <c r="AD583" s="3"/>
    </row>
    <row r="584" spans="1:30" x14ac:dyDescent="0.25">
      <c r="A584">
        <v>570</v>
      </c>
      <c r="B584" s="1">
        <v>42280</v>
      </c>
      <c r="C584" s="33">
        <f t="shared" si="18"/>
        <v>42280</v>
      </c>
      <c r="D584" s="34">
        <f t="shared" si="19"/>
        <v>42280</v>
      </c>
      <c r="E584" s="35" t="s">
        <v>1451</v>
      </c>
      <c r="F584" s="2">
        <v>0.61736111111111114</v>
      </c>
      <c r="G584" s="3" t="s">
        <v>51</v>
      </c>
      <c r="H584" s="3" t="s">
        <v>58</v>
      </c>
      <c r="I584" s="25" t="str">
        <f>VLOOKUP(H584,Tabla5[#All],4,FALSE)</f>
        <v>-31,423018915313, -64,1493562190664</v>
      </c>
      <c r="J584" s="1">
        <v>36521</v>
      </c>
      <c r="K584" s="7">
        <f>INT((crimenes_cordoba_ampliado[[#This Row],[Fecha]]-crimenes_cordoba_ampliado[[#This Row],[Fecha Nac. Delincuente]])/365)</f>
        <v>15</v>
      </c>
      <c r="L584" s="7" t="str">
        <f>_xlfn.XLOOKUP(crimenes_cordoba_ampliado[[#This Row],[EDAD DELINCUENTE]],'Rango etareo'!$A$10:$A$25,'Rango etareo'!$B$10:$B$25,,-1)</f>
        <v>&lt;=17</v>
      </c>
      <c r="M584" s="3" t="s">
        <v>21</v>
      </c>
      <c r="N584" s="3" t="str">
        <f>IF(crimenes_cordoba_ampliado[[#This Row],[Género Delincuente]]="Femenino","🚺","🚹")</f>
        <v>🚺</v>
      </c>
      <c r="O584">
        <v>1</v>
      </c>
      <c r="P584" s="1">
        <v>38835</v>
      </c>
      <c r="Q584" s="7">
        <f>INT((crimenes_cordoba_ampliado[[#This Row],[Fecha]]-crimenes_cordoba_ampliado[[#This Row],[Fecha Nac. Víctima]])/365)</f>
        <v>9</v>
      </c>
      <c r="R584" s="7" t="str">
        <f>_xlfn.XLOOKUP(crimenes_cordoba_ampliado[[#This Row],[EDAD VICTIMA]],'Rango etareo'!$A$2:$A$25,'Rango etareo'!$B$2:$B$25,,-1)</f>
        <v>&lt;=17</v>
      </c>
      <c r="S584" s="3" t="s">
        <v>22</v>
      </c>
      <c r="T584" s="3" t="str">
        <f>IF(crimenes_cordoba_ampliado[[#This Row],[Género Víctima]]="Masculino","🚹","🚺")</f>
        <v>🚹</v>
      </c>
      <c r="U584">
        <v>2</v>
      </c>
      <c r="V584" s="3" t="s">
        <v>23</v>
      </c>
      <c r="W584" s="3" t="s">
        <v>24</v>
      </c>
      <c r="X584" s="3" t="s">
        <v>24</v>
      </c>
      <c r="Y584" s="3" t="s">
        <v>113</v>
      </c>
      <c r="Z584" s="3" t="s">
        <v>25</v>
      </c>
      <c r="AA584" s="3" t="s">
        <v>25</v>
      </c>
      <c r="AB584" s="3" t="str">
        <f>IF(crimenes_cordoba_ampliado[[#This Row],[Hubo Arresto]]="Sí", "Resuelto", "Pendiente")</f>
        <v>Resuelto</v>
      </c>
      <c r="AC584" s="3" t="s">
        <v>272</v>
      </c>
      <c r="AD584" s="3"/>
    </row>
    <row r="585" spans="1:30" x14ac:dyDescent="0.25">
      <c r="A585">
        <v>574</v>
      </c>
      <c r="B585" s="1">
        <v>42111</v>
      </c>
      <c r="C585" s="33">
        <f t="shared" si="18"/>
        <v>42111</v>
      </c>
      <c r="D585" s="34">
        <f t="shared" si="19"/>
        <v>42111</v>
      </c>
      <c r="E585" s="35" t="s">
        <v>1455</v>
      </c>
      <c r="F585" s="2">
        <v>0.96388888888888891</v>
      </c>
      <c r="G585" s="3" t="s">
        <v>19</v>
      </c>
      <c r="H585" s="3" t="s">
        <v>32</v>
      </c>
      <c r="I585" s="25" t="str">
        <f>VLOOKUP(H585,Tabla5[#All],4,FALSE)</f>
        <v>-31,4148488101991, -64,1793406489438</v>
      </c>
      <c r="J585" s="1">
        <v>32268</v>
      </c>
      <c r="K585" s="7">
        <f>INT((crimenes_cordoba_ampliado[[#This Row],[Fecha]]-crimenes_cordoba_ampliado[[#This Row],[Fecha Nac. Delincuente]])/365)</f>
        <v>26</v>
      </c>
      <c r="L585" s="7" t="str">
        <f>_xlfn.XLOOKUP(crimenes_cordoba_ampliado[[#This Row],[EDAD DELINCUENTE]],'Rango etareo'!$A$10:$A$25,'Rango etareo'!$B$10:$B$25,,-1)</f>
        <v>26 - 35</v>
      </c>
      <c r="M585" s="3" t="s">
        <v>22</v>
      </c>
      <c r="N585" s="3" t="str">
        <f>IF(crimenes_cordoba_ampliado[[#This Row],[Género Delincuente]]="Femenino","🚺","🚹")</f>
        <v>🚹</v>
      </c>
      <c r="O585">
        <v>2</v>
      </c>
      <c r="P585" s="1">
        <v>37230</v>
      </c>
      <c r="Q585" s="7">
        <f>INT((crimenes_cordoba_ampliado[[#This Row],[Fecha]]-crimenes_cordoba_ampliado[[#This Row],[Fecha Nac. Víctima]])/365)</f>
        <v>13</v>
      </c>
      <c r="R585" s="7" t="str">
        <f>_xlfn.XLOOKUP(crimenes_cordoba_ampliado[[#This Row],[EDAD VICTIMA]],'Rango etareo'!$A$2:$A$25,'Rango etareo'!$B$2:$B$25,,-1)</f>
        <v>&lt;=17</v>
      </c>
      <c r="S585" s="3" t="s">
        <v>21</v>
      </c>
      <c r="T585" s="3" t="str">
        <f>IF(crimenes_cordoba_ampliado[[#This Row],[Género Víctima]]="Masculino","🚹","🚺")</f>
        <v>🚺</v>
      </c>
      <c r="U585">
        <v>1</v>
      </c>
      <c r="V585" s="3" t="s">
        <v>23</v>
      </c>
      <c r="W585" s="3" t="s">
        <v>24</v>
      </c>
      <c r="X585" s="3" t="s">
        <v>24</v>
      </c>
      <c r="Y585" s="3" t="s">
        <v>80</v>
      </c>
      <c r="Z585" s="3" t="s">
        <v>25</v>
      </c>
      <c r="AA585" s="3" t="s">
        <v>25</v>
      </c>
      <c r="AB585" s="3" t="str">
        <f>IF(crimenes_cordoba_ampliado[[#This Row],[Hubo Arresto]]="Sí", "Resuelto", "Pendiente")</f>
        <v>Resuelto</v>
      </c>
      <c r="AC585" s="3" t="s">
        <v>151</v>
      </c>
      <c r="AD585" s="3"/>
    </row>
    <row r="586" spans="1:30" x14ac:dyDescent="0.25">
      <c r="A586">
        <v>576</v>
      </c>
      <c r="B586" s="1">
        <v>42431</v>
      </c>
      <c r="C586" s="33">
        <f t="shared" si="18"/>
        <v>42431</v>
      </c>
      <c r="D586" s="34">
        <f t="shared" si="19"/>
        <v>42431</v>
      </c>
      <c r="E586" s="35" t="s">
        <v>1450</v>
      </c>
      <c r="F586" s="2">
        <v>0.4465277777777778</v>
      </c>
      <c r="G586" s="3" t="s">
        <v>31</v>
      </c>
      <c r="H586" s="3" t="s">
        <v>52</v>
      </c>
      <c r="I586" s="25" t="str">
        <f>VLOOKUP(H586,Tabla5[#All],4,FALSE)</f>
        <v>-31,3477902896523, -64,2644406169297</v>
      </c>
      <c r="J586" s="1">
        <v>25693</v>
      </c>
      <c r="K586" s="7">
        <f>INT((crimenes_cordoba_ampliado[[#This Row],[Fecha]]-crimenes_cordoba_ampliado[[#This Row],[Fecha Nac. Delincuente]])/365)</f>
        <v>45</v>
      </c>
      <c r="L586" s="7" t="str">
        <f>_xlfn.XLOOKUP(crimenes_cordoba_ampliado[[#This Row],[EDAD DELINCUENTE]],'Rango etareo'!$A$10:$A$25,'Rango etareo'!$B$10:$B$25,,-1)</f>
        <v>36 - 45</v>
      </c>
      <c r="M586" s="3" t="s">
        <v>22</v>
      </c>
      <c r="N586" s="3" t="str">
        <f>IF(crimenes_cordoba_ampliado[[#This Row],[Género Delincuente]]="Femenino","🚺","🚹")</f>
        <v>🚹</v>
      </c>
      <c r="O586">
        <v>2</v>
      </c>
      <c r="P586" s="1">
        <v>21117</v>
      </c>
      <c r="Q586" s="7">
        <f>INT((crimenes_cordoba_ampliado[[#This Row],[Fecha]]-crimenes_cordoba_ampliado[[#This Row],[Fecha Nac. Víctima]])/365)</f>
        <v>58</v>
      </c>
      <c r="R586" s="7" t="str">
        <f>_xlfn.XLOOKUP(crimenes_cordoba_ampliado[[#This Row],[EDAD VICTIMA]],'Rango etareo'!$A$2:$A$25,'Rango etareo'!$B$2:$B$25,,-1)</f>
        <v>56 - 65</v>
      </c>
      <c r="S586" s="3" t="s">
        <v>21</v>
      </c>
      <c r="T586" s="3" t="str">
        <f>IF(crimenes_cordoba_ampliado[[#This Row],[Género Víctima]]="Masculino","🚹","🚺")</f>
        <v>🚺</v>
      </c>
      <c r="U586">
        <v>3</v>
      </c>
      <c r="V586" s="3" t="s">
        <v>23</v>
      </c>
      <c r="W586" s="3" t="s">
        <v>24</v>
      </c>
      <c r="X586" s="3" t="s">
        <v>24</v>
      </c>
      <c r="Y586" s="3" t="s">
        <v>56</v>
      </c>
      <c r="Z586" s="3" t="s">
        <v>23</v>
      </c>
      <c r="AA586" s="3" t="s">
        <v>23</v>
      </c>
      <c r="AB586" s="3" t="str">
        <f>IF(crimenes_cordoba_ampliado[[#This Row],[Hubo Arresto]]="Sí", "Resuelto", "Pendiente")</f>
        <v>Resuelto</v>
      </c>
      <c r="AC586" s="3" t="s">
        <v>131</v>
      </c>
      <c r="AD586" s="3"/>
    </row>
    <row r="587" spans="1:30" x14ac:dyDescent="0.25">
      <c r="A587">
        <v>181</v>
      </c>
      <c r="B587" s="1">
        <v>44224</v>
      </c>
      <c r="C587" s="33">
        <f t="shared" si="18"/>
        <v>44224</v>
      </c>
      <c r="D587" s="34">
        <f t="shared" si="19"/>
        <v>44224</v>
      </c>
      <c r="E587" s="35" t="s">
        <v>1454</v>
      </c>
      <c r="F587" s="2">
        <v>0.17708333333333334</v>
      </c>
      <c r="G587" s="3" t="s">
        <v>48</v>
      </c>
      <c r="H587" s="3" t="s">
        <v>65</v>
      </c>
      <c r="I587" s="25" t="str">
        <f>VLOOKUP(H587,Tabla5[#All],4,FALSE)</f>
        <v>-31,4285567311661, -64,1853198281007</v>
      </c>
      <c r="J587" s="1">
        <v>20198</v>
      </c>
      <c r="K587" s="7">
        <f>INT((crimenes_cordoba_ampliado[[#This Row],[Fecha]]-crimenes_cordoba_ampliado[[#This Row],[Fecha Nac. Delincuente]])/365)</f>
        <v>65</v>
      </c>
      <c r="L587" s="7" t="str">
        <f>_xlfn.XLOOKUP(crimenes_cordoba_ampliado[[#This Row],[EDAD DELINCUENTE]],'Rango etareo'!$A$10:$A$25,'Rango etareo'!$B$10:$B$25,,-1)</f>
        <v>&gt;65</v>
      </c>
      <c r="M587" s="3" t="s">
        <v>22</v>
      </c>
      <c r="N587" s="3" t="str">
        <f>IF(crimenes_cordoba_ampliado[[#This Row],[Género Delincuente]]="Femenino","🚺","🚹")</f>
        <v>🚹</v>
      </c>
      <c r="O587">
        <v>2</v>
      </c>
      <c r="P587" s="1">
        <v>37077</v>
      </c>
      <c r="Q587" s="7">
        <f>INT((crimenes_cordoba_ampliado[[#This Row],[Fecha]]-crimenes_cordoba_ampliado[[#This Row],[Fecha Nac. Víctima]])/365)</f>
        <v>19</v>
      </c>
      <c r="R587" s="7" t="str">
        <f>_xlfn.XLOOKUP(crimenes_cordoba_ampliado[[#This Row],[EDAD VICTIMA]],'Rango etareo'!$A$2:$A$25,'Rango etareo'!$B$2:$B$25,,-1)</f>
        <v>18 - 25</v>
      </c>
      <c r="S587" s="3" t="s">
        <v>21</v>
      </c>
      <c r="T587" s="3" t="str">
        <f>IF(crimenes_cordoba_ampliado[[#This Row],[Género Víctima]]="Masculino","🚹","🚺")</f>
        <v>🚺</v>
      </c>
      <c r="U587">
        <v>3</v>
      </c>
      <c r="V587" s="3" t="s">
        <v>25</v>
      </c>
      <c r="W587" s="3" t="s">
        <v>24</v>
      </c>
      <c r="X587" s="3" t="s">
        <v>50</v>
      </c>
      <c r="Y587" s="3" t="s">
        <v>24</v>
      </c>
      <c r="Z587" s="3" t="s">
        <v>23</v>
      </c>
      <c r="AA587" s="3" t="s">
        <v>23</v>
      </c>
      <c r="AB587" s="3" t="str">
        <f>IF(crimenes_cordoba_ampliado[[#This Row],[Hubo Arresto]]="Sí", "Resuelto", "Pendiente")</f>
        <v>Pendiente</v>
      </c>
      <c r="AC587" s="3" t="s">
        <v>24</v>
      </c>
      <c r="AD587" s="3"/>
    </row>
    <row r="588" spans="1:30" x14ac:dyDescent="0.25">
      <c r="A588">
        <v>962</v>
      </c>
      <c r="B588" s="1">
        <v>44227</v>
      </c>
      <c r="C588" s="33">
        <f t="shared" si="18"/>
        <v>44227</v>
      </c>
      <c r="D588" s="34">
        <f t="shared" si="19"/>
        <v>44227</v>
      </c>
      <c r="E588" s="35" t="s">
        <v>1449</v>
      </c>
      <c r="F588" s="2">
        <v>0.70416666666666672</v>
      </c>
      <c r="G588" s="3" t="s">
        <v>51</v>
      </c>
      <c r="H588" s="3" t="s">
        <v>40</v>
      </c>
      <c r="I588" s="25" t="str">
        <f>VLOOKUP(H588,Tabla5[#All],4,FALSE)</f>
        <v>-31,334500143441, -64,2460773260564</v>
      </c>
      <c r="J588" s="1">
        <v>29236</v>
      </c>
      <c r="K588" s="7">
        <f>INT((crimenes_cordoba_ampliado[[#This Row],[Fecha]]-crimenes_cordoba_ampliado[[#This Row],[Fecha Nac. Delincuente]])/365)</f>
        <v>41</v>
      </c>
      <c r="L588" s="7" t="str">
        <f>_xlfn.XLOOKUP(crimenes_cordoba_ampliado[[#This Row],[EDAD DELINCUENTE]],'Rango etareo'!$A$10:$A$25,'Rango etareo'!$B$10:$B$25,,-1)</f>
        <v>36 - 45</v>
      </c>
      <c r="M588" s="3" t="s">
        <v>21</v>
      </c>
      <c r="N588" s="3" t="str">
        <f>IF(crimenes_cordoba_ampliado[[#This Row],[Género Delincuente]]="Femenino","🚺","🚹")</f>
        <v>🚺</v>
      </c>
      <c r="O588">
        <v>2</v>
      </c>
      <c r="P588" s="1">
        <v>20739</v>
      </c>
      <c r="Q588" s="7">
        <f>INT((crimenes_cordoba_ampliado[[#This Row],[Fecha]]-crimenes_cordoba_ampliado[[#This Row],[Fecha Nac. Víctima]])/365)</f>
        <v>64</v>
      </c>
      <c r="R588" s="7" t="str">
        <f>_xlfn.XLOOKUP(crimenes_cordoba_ampliado[[#This Row],[EDAD VICTIMA]],'Rango etareo'!$A$2:$A$25,'Rango etareo'!$B$2:$B$25,,-1)</f>
        <v>56 - 65</v>
      </c>
      <c r="S588" s="3" t="s">
        <v>21</v>
      </c>
      <c r="T588" s="3" t="str">
        <f>IF(crimenes_cordoba_ampliado[[#This Row],[Género Víctima]]="Masculino","🚹","🚺")</f>
        <v>🚺</v>
      </c>
      <c r="U588">
        <v>1</v>
      </c>
      <c r="V588" s="3" t="s">
        <v>25</v>
      </c>
      <c r="W588" s="3" t="s">
        <v>24</v>
      </c>
      <c r="X588" s="3" t="s">
        <v>24</v>
      </c>
      <c r="Y588" s="3" t="s">
        <v>72</v>
      </c>
      <c r="Z588" s="3" t="s">
        <v>23</v>
      </c>
      <c r="AA588" s="3" t="s">
        <v>25</v>
      </c>
      <c r="AB588" s="3" t="str">
        <f>IF(crimenes_cordoba_ampliado[[#This Row],[Hubo Arresto]]="Sí", "Resuelto", "Pendiente")</f>
        <v>Pendiente</v>
      </c>
      <c r="AC588" s="3" t="s">
        <v>24</v>
      </c>
      <c r="AD588" s="3"/>
    </row>
    <row r="589" spans="1:30" x14ac:dyDescent="0.25">
      <c r="A589">
        <v>578</v>
      </c>
      <c r="B589" s="1">
        <v>42561</v>
      </c>
      <c r="C589" s="33">
        <f t="shared" si="18"/>
        <v>42561</v>
      </c>
      <c r="D589" s="34">
        <f t="shared" si="19"/>
        <v>42561</v>
      </c>
      <c r="E589" s="35" t="s">
        <v>1449</v>
      </c>
      <c r="F589" s="2">
        <v>0.63680555555555551</v>
      </c>
      <c r="G589" s="3" t="s">
        <v>27</v>
      </c>
      <c r="H589" s="3" t="s">
        <v>32</v>
      </c>
      <c r="I589" s="25" t="str">
        <f>VLOOKUP(H589,Tabla5[#All],4,FALSE)</f>
        <v>-31,4148488101991, -64,1793406489438</v>
      </c>
      <c r="J589" s="1">
        <v>35907</v>
      </c>
      <c r="K589" s="7">
        <f>INT((crimenes_cordoba_ampliado[[#This Row],[Fecha]]-crimenes_cordoba_ampliado[[#This Row],[Fecha Nac. Delincuente]])/365)</f>
        <v>18</v>
      </c>
      <c r="L589" s="7" t="str">
        <f>_xlfn.XLOOKUP(crimenes_cordoba_ampliado[[#This Row],[EDAD DELINCUENTE]],'Rango etareo'!$A$10:$A$25,'Rango etareo'!$B$10:$B$25,,-1)</f>
        <v>18 - 25</v>
      </c>
      <c r="M589" s="3" t="s">
        <v>21</v>
      </c>
      <c r="N589" s="3" t="str">
        <f>IF(crimenes_cordoba_ampliado[[#This Row],[Género Delincuente]]="Femenino","🚺","🚹")</f>
        <v>🚺</v>
      </c>
      <c r="O589">
        <v>1</v>
      </c>
      <c r="P589" s="1">
        <v>31359</v>
      </c>
      <c r="Q589" s="7">
        <f>INT((crimenes_cordoba_ampliado[[#This Row],[Fecha]]-crimenes_cordoba_ampliado[[#This Row],[Fecha Nac. Víctima]])/365)</f>
        <v>30</v>
      </c>
      <c r="R589" s="7" t="str">
        <f>_xlfn.XLOOKUP(crimenes_cordoba_ampliado[[#This Row],[EDAD VICTIMA]],'Rango etareo'!$A$2:$A$25,'Rango etareo'!$B$2:$B$25,,-1)</f>
        <v>26 - 35</v>
      </c>
      <c r="S589" s="3" t="s">
        <v>22</v>
      </c>
      <c r="T589" s="3" t="str">
        <f>IF(crimenes_cordoba_ampliado[[#This Row],[Género Víctima]]="Masculino","🚹","🚺")</f>
        <v>🚹</v>
      </c>
      <c r="U589">
        <v>2</v>
      </c>
      <c r="V589" s="3" t="s">
        <v>23</v>
      </c>
      <c r="W589" s="3" t="s">
        <v>24</v>
      </c>
      <c r="X589" s="3" t="s">
        <v>50</v>
      </c>
      <c r="Y589" s="3" t="s">
        <v>24</v>
      </c>
      <c r="Z589" s="3" t="s">
        <v>23</v>
      </c>
      <c r="AA589" s="3" t="s">
        <v>25</v>
      </c>
      <c r="AB589" s="3" t="str">
        <f>IF(crimenes_cordoba_ampliado[[#This Row],[Hubo Arresto]]="Sí", "Resuelto", "Pendiente")</f>
        <v>Resuelto</v>
      </c>
      <c r="AC589" s="3" t="s">
        <v>273</v>
      </c>
      <c r="AD589" s="3"/>
    </row>
    <row r="590" spans="1:30" x14ac:dyDescent="0.25">
      <c r="A590">
        <v>580</v>
      </c>
      <c r="B590" s="1">
        <v>43786</v>
      </c>
      <c r="C590" s="33">
        <f t="shared" si="18"/>
        <v>43786</v>
      </c>
      <c r="D590" s="34">
        <f t="shared" si="19"/>
        <v>43786</v>
      </c>
      <c r="E590" s="35" t="s">
        <v>1449</v>
      </c>
      <c r="F590" s="2">
        <v>0.78472222222222221</v>
      </c>
      <c r="G590" s="3" t="s">
        <v>35</v>
      </c>
      <c r="H590" s="3" t="s">
        <v>70</v>
      </c>
      <c r="I590" s="25" t="str">
        <f>VLOOKUP(H590,Tabla5[#All],4,FALSE)</f>
        <v>-31,3759272890294, -64,2284587792478</v>
      </c>
      <c r="J590" s="1">
        <v>33942</v>
      </c>
      <c r="K590" s="7">
        <f>INT((crimenes_cordoba_ampliado[[#This Row],[Fecha]]-crimenes_cordoba_ampliado[[#This Row],[Fecha Nac. Delincuente]])/365)</f>
        <v>26</v>
      </c>
      <c r="L590" s="7" t="str">
        <f>_xlfn.XLOOKUP(crimenes_cordoba_ampliado[[#This Row],[EDAD DELINCUENTE]],'Rango etareo'!$A$10:$A$25,'Rango etareo'!$B$10:$B$25,,-1)</f>
        <v>26 - 35</v>
      </c>
      <c r="M590" s="3" t="s">
        <v>21</v>
      </c>
      <c r="N590" s="3" t="str">
        <f>IF(crimenes_cordoba_ampliado[[#This Row],[Género Delincuente]]="Femenino","🚺","🚹")</f>
        <v>🚺</v>
      </c>
      <c r="O590">
        <v>3</v>
      </c>
      <c r="P590" s="1">
        <v>15289</v>
      </c>
      <c r="Q590" s="7">
        <f>INT((crimenes_cordoba_ampliado[[#This Row],[Fecha]]-crimenes_cordoba_ampliado[[#This Row],[Fecha Nac. Víctima]])/365)</f>
        <v>78</v>
      </c>
      <c r="R590" s="7" t="str">
        <f>_xlfn.XLOOKUP(crimenes_cordoba_ampliado[[#This Row],[EDAD VICTIMA]],'Rango etareo'!$A$2:$A$25,'Rango etareo'!$B$2:$B$25,,-1)</f>
        <v>&gt;65</v>
      </c>
      <c r="S590" s="3" t="s">
        <v>22</v>
      </c>
      <c r="T590" s="3" t="str">
        <f>IF(crimenes_cordoba_ampliado[[#This Row],[Género Víctima]]="Masculino","🚹","🚺")</f>
        <v>🚹</v>
      </c>
      <c r="U590">
        <v>1</v>
      </c>
      <c r="V590" s="3" t="s">
        <v>23</v>
      </c>
      <c r="W590" s="3" t="s">
        <v>36</v>
      </c>
      <c r="X590" s="3" t="s">
        <v>24</v>
      </c>
      <c r="Y590" s="3" t="s">
        <v>101</v>
      </c>
      <c r="Z590" s="3" t="s">
        <v>23</v>
      </c>
      <c r="AA590" s="3" t="s">
        <v>23</v>
      </c>
      <c r="AB590" s="3" t="str">
        <f>IF(crimenes_cordoba_ampliado[[#This Row],[Hubo Arresto]]="Sí", "Resuelto", "Pendiente")</f>
        <v>Resuelto</v>
      </c>
      <c r="AC590" s="3" t="s">
        <v>186</v>
      </c>
      <c r="AD590" s="3"/>
    </row>
    <row r="591" spans="1:30" x14ac:dyDescent="0.25">
      <c r="A591">
        <v>763</v>
      </c>
      <c r="B591" s="1">
        <v>44243</v>
      </c>
      <c r="C591" s="33">
        <f t="shared" si="18"/>
        <v>44243</v>
      </c>
      <c r="D591" s="34">
        <f t="shared" si="19"/>
        <v>44243</v>
      </c>
      <c r="E591" s="35" t="s">
        <v>1453</v>
      </c>
      <c r="F591" s="2">
        <v>0.65416666666666667</v>
      </c>
      <c r="G591" s="3" t="s">
        <v>81</v>
      </c>
      <c r="H591" s="3" t="s">
        <v>28</v>
      </c>
      <c r="I591" s="25" t="str">
        <f>VLOOKUP(H591,Tabla5[#All],4,FALSE)</f>
        <v>-31,4129883640337, -64,1681120522587</v>
      </c>
      <c r="J591" s="1">
        <v>38127</v>
      </c>
      <c r="K591" s="7">
        <f>INT((crimenes_cordoba_ampliado[[#This Row],[Fecha]]-crimenes_cordoba_ampliado[[#This Row],[Fecha Nac. Delincuente]])/365)</f>
        <v>16</v>
      </c>
      <c r="L591" s="7" t="str">
        <f>_xlfn.XLOOKUP(crimenes_cordoba_ampliado[[#This Row],[EDAD DELINCUENTE]],'Rango etareo'!$A$10:$A$25,'Rango etareo'!$B$10:$B$25,,-1)</f>
        <v>&lt;=17</v>
      </c>
      <c r="M591" s="3" t="s">
        <v>22</v>
      </c>
      <c r="N591" s="3" t="str">
        <f>IF(crimenes_cordoba_ampliado[[#This Row],[Género Delincuente]]="Femenino","🚺","🚹")</f>
        <v>🚹</v>
      </c>
      <c r="O591">
        <v>2</v>
      </c>
      <c r="P591" s="1">
        <v>25198</v>
      </c>
      <c r="Q591" s="7">
        <f>INT((crimenes_cordoba_ampliado[[#This Row],[Fecha]]-crimenes_cordoba_ampliado[[#This Row],[Fecha Nac. Víctima]])/365)</f>
        <v>52</v>
      </c>
      <c r="R591" s="7" t="str">
        <f>_xlfn.XLOOKUP(crimenes_cordoba_ampliado[[#This Row],[EDAD VICTIMA]],'Rango etareo'!$A$2:$A$25,'Rango etareo'!$B$2:$B$25,,-1)</f>
        <v>46 - 55</v>
      </c>
      <c r="S591" s="3" t="s">
        <v>22</v>
      </c>
      <c r="T591" s="3" t="str">
        <f>IF(crimenes_cordoba_ampliado[[#This Row],[Género Víctima]]="Masculino","🚹","🚺")</f>
        <v>🚹</v>
      </c>
      <c r="U591">
        <v>2</v>
      </c>
      <c r="V591" s="3" t="s">
        <v>25</v>
      </c>
      <c r="W591" s="3" t="s">
        <v>24</v>
      </c>
      <c r="X591" s="3" t="s">
        <v>67</v>
      </c>
      <c r="Y591" s="3" t="s">
        <v>24</v>
      </c>
      <c r="Z591" s="3" t="s">
        <v>25</v>
      </c>
      <c r="AA591" s="3" t="s">
        <v>23</v>
      </c>
      <c r="AB591" s="3" t="str">
        <f>IF(crimenes_cordoba_ampliado[[#This Row],[Hubo Arresto]]="Sí", "Resuelto", "Pendiente")</f>
        <v>Pendiente</v>
      </c>
      <c r="AC591" s="3" t="s">
        <v>24</v>
      </c>
      <c r="AD591" s="3"/>
    </row>
    <row r="592" spans="1:30" x14ac:dyDescent="0.25">
      <c r="A592">
        <v>584</v>
      </c>
      <c r="B592" s="1">
        <v>44440</v>
      </c>
      <c r="C592" s="33">
        <f t="shared" si="18"/>
        <v>44440</v>
      </c>
      <c r="D592" s="34">
        <f t="shared" si="19"/>
        <v>44440</v>
      </c>
      <c r="E592" s="35" t="s">
        <v>1450</v>
      </c>
      <c r="F592" s="2">
        <v>0.44791666666666669</v>
      </c>
      <c r="G592" s="3" t="s">
        <v>45</v>
      </c>
      <c r="H592" s="3" t="s">
        <v>52</v>
      </c>
      <c r="I592" s="25" t="str">
        <f>VLOOKUP(H592,Tabla5[#All],4,FALSE)</f>
        <v>-31,3477902896523, -64,2644406169297</v>
      </c>
      <c r="J592" s="1">
        <v>36693</v>
      </c>
      <c r="K592" s="7">
        <f>INT((crimenes_cordoba_ampliado[[#This Row],[Fecha]]-crimenes_cordoba_ampliado[[#This Row],[Fecha Nac. Delincuente]])/365)</f>
        <v>21</v>
      </c>
      <c r="L592" s="7" t="str">
        <f>_xlfn.XLOOKUP(crimenes_cordoba_ampliado[[#This Row],[EDAD DELINCUENTE]],'Rango etareo'!$A$10:$A$25,'Rango etareo'!$B$10:$B$25,,-1)</f>
        <v>18 - 25</v>
      </c>
      <c r="M592" s="3" t="s">
        <v>22</v>
      </c>
      <c r="N592" s="3" t="str">
        <f>IF(crimenes_cordoba_ampliado[[#This Row],[Género Delincuente]]="Femenino","🚺","🚹")</f>
        <v>🚹</v>
      </c>
      <c r="O592">
        <v>5</v>
      </c>
      <c r="P592" s="1">
        <v>22286</v>
      </c>
      <c r="Q592" s="7">
        <f>INT((crimenes_cordoba_ampliado[[#This Row],[Fecha]]-crimenes_cordoba_ampliado[[#This Row],[Fecha Nac. Víctima]])/365)</f>
        <v>60</v>
      </c>
      <c r="R592" s="7" t="str">
        <f>_xlfn.XLOOKUP(crimenes_cordoba_ampliado[[#This Row],[EDAD VICTIMA]],'Rango etareo'!$A$2:$A$25,'Rango etareo'!$B$2:$B$25,,-1)</f>
        <v>56 - 65</v>
      </c>
      <c r="S592" s="3" t="s">
        <v>22</v>
      </c>
      <c r="T592" s="3" t="str">
        <f>IF(crimenes_cordoba_ampliado[[#This Row],[Género Víctima]]="Masculino","🚹","🚺")</f>
        <v>🚹</v>
      </c>
      <c r="U592">
        <v>2</v>
      </c>
      <c r="V592" s="3" t="s">
        <v>23</v>
      </c>
      <c r="W592" s="3" t="s">
        <v>24</v>
      </c>
      <c r="X592" s="3" t="s">
        <v>24</v>
      </c>
      <c r="Y592" s="3" t="s">
        <v>72</v>
      </c>
      <c r="Z592" s="3" t="s">
        <v>25</v>
      </c>
      <c r="AA592" s="3" t="s">
        <v>23</v>
      </c>
      <c r="AB592" s="3" t="str">
        <f>IF(crimenes_cordoba_ampliado[[#This Row],[Hubo Arresto]]="Sí", "Resuelto", "Pendiente")</f>
        <v>Resuelto</v>
      </c>
      <c r="AC592" s="3" t="s">
        <v>241</v>
      </c>
      <c r="AD592" s="3"/>
    </row>
    <row r="593" spans="1:30" x14ac:dyDescent="0.25">
      <c r="A593">
        <v>1000</v>
      </c>
      <c r="B593" s="1">
        <v>44249</v>
      </c>
      <c r="C593" s="33">
        <f t="shared" si="18"/>
        <v>44249</v>
      </c>
      <c r="D593" s="34">
        <f t="shared" si="19"/>
        <v>44249</v>
      </c>
      <c r="E593" s="35" t="s">
        <v>1452</v>
      </c>
      <c r="F593" s="2">
        <v>0.30069444444444443</v>
      </c>
      <c r="G593" s="3" t="s">
        <v>54</v>
      </c>
      <c r="H593" s="3" t="s">
        <v>52</v>
      </c>
      <c r="I593" s="25" t="str">
        <f>VLOOKUP(H593,Tabla5[#All],4,FALSE)</f>
        <v>-31,3477902896523, -64,2644406169297</v>
      </c>
      <c r="J593" s="1">
        <v>22960</v>
      </c>
      <c r="K593" s="7">
        <f>INT((crimenes_cordoba_ampliado[[#This Row],[Fecha]]-crimenes_cordoba_ampliado[[#This Row],[Fecha Nac. Delincuente]])/365)</f>
        <v>58</v>
      </c>
      <c r="L593" s="7" t="str">
        <f>_xlfn.XLOOKUP(crimenes_cordoba_ampliado[[#This Row],[EDAD DELINCUENTE]],'Rango etareo'!$A$10:$A$25,'Rango etareo'!$B$10:$B$25,,-1)</f>
        <v>56 - 65</v>
      </c>
      <c r="M593" s="3" t="s">
        <v>22</v>
      </c>
      <c r="N593" s="3" t="str">
        <f>IF(crimenes_cordoba_ampliado[[#This Row],[Género Delincuente]]="Femenino","🚺","🚹")</f>
        <v>🚹</v>
      </c>
      <c r="O593">
        <v>5</v>
      </c>
      <c r="P593" s="1">
        <v>37462</v>
      </c>
      <c r="Q593" s="7">
        <f>INT((crimenes_cordoba_ampliado[[#This Row],[Fecha]]-crimenes_cordoba_ampliado[[#This Row],[Fecha Nac. Víctima]])/365)</f>
        <v>18</v>
      </c>
      <c r="R593" s="7" t="str">
        <f>_xlfn.XLOOKUP(crimenes_cordoba_ampliado[[#This Row],[EDAD VICTIMA]],'Rango etareo'!$A$2:$A$25,'Rango etareo'!$B$2:$B$25,,-1)</f>
        <v>18 - 25</v>
      </c>
      <c r="S593" s="3" t="s">
        <v>22</v>
      </c>
      <c r="T593" s="3" t="str">
        <f>IF(crimenes_cordoba_ampliado[[#This Row],[Género Víctima]]="Masculino","🚹","🚺")</f>
        <v>🚹</v>
      </c>
      <c r="U593">
        <v>1</v>
      </c>
      <c r="V593" s="3" t="s">
        <v>25</v>
      </c>
      <c r="W593" s="3" t="s">
        <v>24</v>
      </c>
      <c r="X593" s="3" t="s">
        <v>24</v>
      </c>
      <c r="Y593" s="3" t="s">
        <v>24</v>
      </c>
      <c r="Z593" s="3" t="s">
        <v>23</v>
      </c>
      <c r="AA593" s="3" t="s">
        <v>25</v>
      </c>
      <c r="AB593" s="3" t="str">
        <f>IF(crimenes_cordoba_ampliado[[#This Row],[Hubo Arresto]]="Sí", "Resuelto", "Pendiente")</f>
        <v>Pendiente</v>
      </c>
      <c r="AC593" s="3" t="s">
        <v>24</v>
      </c>
      <c r="AD593" s="3"/>
    </row>
    <row r="594" spans="1:30" x14ac:dyDescent="0.25">
      <c r="A594">
        <v>585</v>
      </c>
      <c r="B594" s="1">
        <v>43836</v>
      </c>
      <c r="C594" s="33">
        <f t="shared" si="18"/>
        <v>43836</v>
      </c>
      <c r="D594" s="34">
        <f t="shared" si="19"/>
        <v>43836</v>
      </c>
      <c r="E594" s="35" t="s">
        <v>1452</v>
      </c>
      <c r="F594" s="2">
        <v>0.57152777777777775</v>
      </c>
      <c r="G594" s="3" t="s">
        <v>38</v>
      </c>
      <c r="H594" s="3" t="s">
        <v>55</v>
      </c>
      <c r="I594" s="25" t="str">
        <f>VLOOKUP(H594,Tabla5[#All],4,FALSE)</f>
        <v>-31,4015892433235, -64,160442876477</v>
      </c>
      <c r="J594" s="1">
        <v>28498</v>
      </c>
      <c r="K594" s="7">
        <f>INT((crimenes_cordoba_ampliado[[#This Row],[Fecha]]-crimenes_cordoba_ampliado[[#This Row],[Fecha Nac. Delincuente]])/365)</f>
        <v>42</v>
      </c>
      <c r="L594" s="7" t="str">
        <f>_xlfn.XLOOKUP(crimenes_cordoba_ampliado[[#This Row],[EDAD DELINCUENTE]],'Rango etareo'!$A$10:$A$25,'Rango etareo'!$B$10:$B$25,,-1)</f>
        <v>36 - 45</v>
      </c>
      <c r="M594" s="3" t="s">
        <v>21</v>
      </c>
      <c r="N594" s="3" t="str">
        <f>IF(crimenes_cordoba_ampliado[[#This Row],[Género Delincuente]]="Femenino","🚺","🚹")</f>
        <v>🚺</v>
      </c>
      <c r="O594">
        <v>2</v>
      </c>
      <c r="P594" s="1">
        <v>28661</v>
      </c>
      <c r="Q594" s="7">
        <f>INT((crimenes_cordoba_ampliado[[#This Row],[Fecha]]-crimenes_cordoba_ampliado[[#This Row],[Fecha Nac. Víctima]])/365)</f>
        <v>41</v>
      </c>
      <c r="R594" s="7" t="str">
        <f>_xlfn.XLOOKUP(crimenes_cordoba_ampliado[[#This Row],[EDAD VICTIMA]],'Rango etareo'!$A$2:$A$25,'Rango etareo'!$B$2:$B$25,,-1)</f>
        <v>36 - 45</v>
      </c>
      <c r="S594" s="3" t="s">
        <v>22</v>
      </c>
      <c r="T594" s="3" t="str">
        <f>IF(crimenes_cordoba_ampliado[[#This Row],[Género Víctima]]="Masculino","🚹","🚺")</f>
        <v>🚹</v>
      </c>
      <c r="U594">
        <v>1</v>
      </c>
      <c r="V594" s="3" t="s">
        <v>23</v>
      </c>
      <c r="W594" s="3" t="s">
        <v>24</v>
      </c>
      <c r="X594" s="3" t="s">
        <v>24</v>
      </c>
      <c r="Y594" s="3" t="s">
        <v>24</v>
      </c>
      <c r="Z594" s="3" t="s">
        <v>23</v>
      </c>
      <c r="AA594" s="3" t="s">
        <v>25</v>
      </c>
      <c r="AB594" s="3" t="str">
        <f>IF(crimenes_cordoba_ampliado[[#This Row],[Hubo Arresto]]="Sí", "Resuelto", "Pendiente")</f>
        <v>Resuelto</v>
      </c>
      <c r="AC594" s="3" t="s">
        <v>220</v>
      </c>
      <c r="AD594" s="3"/>
    </row>
    <row r="595" spans="1:30" x14ac:dyDescent="0.25">
      <c r="A595">
        <v>120</v>
      </c>
      <c r="B595" s="1">
        <v>44258</v>
      </c>
      <c r="C595" s="33">
        <f t="shared" si="18"/>
        <v>44258</v>
      </c>
      <c r="D595" s="34">
        <f t="shared" si="19"/>
        <v>44258</v>
      </c>
      <c r="E595" s="35" t="s">
        <v>1450</v>
      </c>
      <c r="F595" s="2">
        <v>7.2916666666666671E-2</v>
      </c>
      <c r="G595" s="3" t="s">
        <v>81</v>
      </c>
      <c r="H595" s="3" t="s">
        <v>60</v>
      </c>
      <c r="I595" s="25" t="str">
        <f>VLOOKUP(H595,Tabla5[#All],4,FALSE)</f>
        <v>-31,4076397196409, -64,2020170430678</v>
      </c>
      <c r="J595" s="1">
        <v>31648</v>
      </c>
      <c r="K595" s="7">
        <f>INT((crimenes_cordoba_ampliado[[#This Row],[Fecha]]-crimenes_cordoba_ampliado[[#This Row],[Fecha Nac. Delincuente]])/365)</f>
        <v>34</v>
      </c>
      <c r="L595" s="7" t="str">
        <f>_xlfn.XLOOKUP(crimenes_cordoba_ampliado[[#This Row],[EDAD DELINCUENTE]],'Rango etareo'!$A$10:$A$25,'Rango etareo'!$B$10:$B$25,,-1)</f>
        <v>26 - 35</v>
      </c>
      <c r="M595" s="3" t="s">
        <v>22</v>
      </c>
      <c r="N595" s="3" t="str">
        <f>IF(crimenes_cordoba_ampliado[[#This Row],[Género Delincuente]]="Femenino","🚺","🚹")</f>
        <v>🚹</v>
      </c>
      <c r="O595">
        <v>5</v>
      </c>
      <c r="P595" s="1">
        <v>20529</v>
      </c>
      <c r="Q595" s="7">
        <f>INT((crimenes_cordoba_ampliado[[#This Row],[Fecha]]-crimenes_cordoba_ampliado[[#This Row],[Fecha Nac. Víctima]])/365)</f>
        <v>65</v>
      </c>
      <c r="R595" s="7" t="str">
        <f>_xlfn.XLOOKUP(crimenes_cordoba_ampliado[[#This Row],[EDAD VICTIMA]],'Rango etareo'!$A$2:$A$25,'Rango etareo'!$B$2:$B$25,,-1)</f>
        <v>&gt;65</v>
      </c>
      <c r="S595" s="3" t="s">
        <v>21</v>
      </c>
      <c r="T595" s="3" t="str">
        <f>IF(crimenes_cordoba_ampliado[[#This Row],[Género Víctima]]="Masculino","🚹","🚺")</f>
        <v>🚺</v>
      </c>
      <c r="U595">
        <v>1</v>
      </c>
      <c r="V595" s="3" t="s">
        <v>25</v>
      </c>
      <c r="W595" s="3" t="s">
        <v>24</v>
      </c>
      <c r="X595" s="3" t="s">
        <v>24</v>
      </c>
      <c r="Y595" s="3" t="s">
        <v>24</v>
      </c>
      <c r="Z595" s="3" t="s">
        <v>23</v>
      </c>
      <c r="AA595" s="3" t="s">
        <v>23</v>
      </c>
      <c r="AB595" s="3" t="str">
        <f>IF(crimenes_cordoba_ampliado[[#This Row],[Hubo Arresto]]="Sí", "Resuelto", "Pendiente")</f>
        <v>Pendiente</v>
      </c>
      <c r="AC595" s="3" t="s">
        <v>24</v>
      </c>
      <c r="AD595" s="3"/>
    </row>
    <row r="596" spans="1:30" x14ac:dyDescent="0.25">
      <c r="A596">
        <v>589</v>
      </c>
      <c r="B596" s="1">
        <v>44574</v>
      </c>
      <c r="C596" s="33">
        <f t="shared" si="18"/>
        <v>44574</v>
      </c>
      <c r="D596" s="34">
        <f t="shared" si="19"/>
        <v>44574</v>
      </c>
      <c r="E596" s="35" t="s">
        <v>1454</v>
      </c>
      <c r="F596" s="2">
        <v>0.60763888888888884</v>
      </c>
      <c r="G596" s="3" t="s">
        <v>35</v>
      </c>
      <c r="H596" s="3" t="s">
        <v>52</v>
      </c>
      <c r="I596" s="25" t="str">
        <f>VLOOKUP(H596,Tabla5[#All],4,FALSE)</f>
        <v>-31,3477902896523, -64,2644406169297</v>
      </c>
      <c r="J596" s="1">
        <v>33687</v>
      </c>
      <c r="K596" s="7">
        <f>INT((crimenes_cordoba_ampliado[[#This Row],[Fecha]]-crimenes_cordoba_ampliado[[#This Row],[Fecha Nac. Delincuente]])/365)</f>
        <v>29</v>
      </c>
      <c r="L596" s="7" t="str">
        <f>_xlfn.XLOOKUP(crimenes_cordoba_ampliado[[#This Row],[EDAD DELINCUENTE]],'Rango etareo'!$A$10:$A$25,'Rango etareo'!$B$10:$B$25,,-1)</f>
        <v>26 - 35</v>
      </c>
      <c r="M596" s="3" t="s">
        <v>21</v>
      </c>
      <c r="N596" s="3" t="str">
        <f>IF(crimenes_cordoba_ampliado[[#This Row],[Género Delincuente]]="Femenino","🚺","🚹")</f>
        <v>🚺</v>
      </c>
      <c r="O596">
        <v>4</v>
      </c>
      <c r="P596" s="1">
        <v>14756</v>
      </c>
      <c r="Q596" s="7">
        <f>INT((crimenes_cordoba_ampliado[[#This Row],[Fecha]]-crimenes_cordoba_ampliado[[#This Row],[Fecha Nac. Víctima]])/365)</f>
        <v>81</v>
      </c>
      <c r="R596" s="7" t="str">
        <f>_xlfn.XLOOKUP(crimenes_cordoba_ampliado[[#This Row],[EDAD VICTIMA]],'Rango etareo'!$A$2:$A$25,'Rango etareo'!$B$2:$B$25,,-1)</f>
        <v>&gt;65</v>
      </c>
      <c r="S596" s="3" t="s">
        <v>21</v>
      </c>
      <c r="T596" s="3" t="str">
        <f>IF(crimenes_cordoba_ampliado[[#This Row],[Género Víctima]]="Masculino","🚹","🚺")</f>
        <v>🚺</v>
      </c>
      <c r="U596">
        <v>2</v>
      </c>
      <c r="V596" s="3" t="s">
        <v>23</v>
      </c>
      <c r="W596" s="3" t="s">
        <v>24</v>
      </c>
      <c r="X596" s="3" t="s">
        <v>24</v>
      </c>
      <c r="Y596" s="3" t="s">
        <v>39</v>
      </c>
      <c r="Z596" s="3" t="s">
        <v>23</v>
      </c>
      <c r="AA596" s="3" t="s">
        <v>25</v>
      </c>
      <c r="AB596" s="3" t="str">
        <f>IF(crimenes_cordoba_ampliado[[#This Row],[Hubo Arresto]]="Sí", "Resuelto", "Pendiente")</f>
        <v>Resuelto</v>
      </c>
      <c r="AC596" s="3" t="s">
        <v>135</v>
      </c>
      <c r="AD596" s="3"/>
    </row>
    <row r="597" spans="1:30" x14ac:dyDescent="0.25">
      <c r="A597">
        <v>591</v>
      </c>
      <c r="B597" s="1">
        <v>44923</v>
      </c>
      <c r="C597" s="33">
        <f t="shared" si="18"/>
        <v>44923</v>
      </c>
      <c r="D597" s="34">
        <f t="shared" si="19"/>
        <v>44923</v>
      </c>
      <c r="E597" s="35" t="s">
        <v>1450</v>
      </c>
      <c r="F597" s="2">
        <v>0.8930555555555556</v>
      </c>
      <c r="G597" s="3" t="s">
        <v>42</v>
      </c>
      <c r="H597" s="3" t="s">
        <v>58</v>
      </c>
      <c r="I597" s="25" t="str">
        <f>VLOOKUP(H597,Tabla5[#All],4,FALSE)</f>
        <v>-31,423018915313, -64,1493562190664</v>
      </c>
      <c r="J597" s="1">
        <v>18887</v>
      </c>
      <c r="K597" s="7">
        <f>INT((crimenes_cordoba_ampliado[[#This Row],[Fecha]]-crimenes_cordoba_ampliado[[#This Row],[Fecha Nac. Delincuente]])/365)</f>
        <v>71</v>
      </c>
      <c r="L597" s="7" t="str">
        <f>_xlfn.XLOOKUP(crimenes_cordoba_ampliado[[#This Row],[EDAD DELINCUENTE]],'Rango etareo'!$A$10:$A$25,'Rango etareo'!$B$10:$B$25,,-1)</f>
        <v>&gt;65</v>
      </c>
      <c r="M597" s="3" t="s">
        <v>22</v>
      </c>
      <c r="N597" s="3" t="str">
        <f>IF(crimenes_cordoba_ampliado[[#This Row],[Género Delincuente]]="Femenino","🚺","🚹")</f>
        <v>🚹</v>
      </c>
      <c r="O597">
        <v>5</v>
      </c>
      <c r="P597" s="1">
        <v>30577</v>
      </c>
      <c r="Q597" s="7">
        <f>INT((crimenes_cordoba_ampliado[[#This Row],[Fecha]]-crimenes_cordoba_ampliado[[#This Row],[Fecha Nac. Víctima]])/365)</f>
        <v>39</v>
      </c>
      <c r="R597" s="7" t="str">
        <f>_xlfn.XLOOKUP(crimenes_cordoba_ampliado[[#This Row],[EDAD VICTIMA]],'Rango etareo'!$A$2:$A$25,'Rango etareo'!$B$2:$B$25,,-1)</f>
        <v>36 - 45</v>
      </c>
      <c r="S597" s="3" t="s">
        <v>22</v>
      </c>
      <c r="T597" s="3" t="str">
        <f>IF(crimenes_cordoba_ampliado[[#This Row],[Género Víctima]]="Masculino","🚹","🚺")</f>
        <v>🚹</v>
      </c>
      <c r="U597">
        <v>1</v>
      </c>
      <c r="V597" s="3" t="s">
        <v>23</v>
      </c>
      <c r="W597" s="3" t="s">
        <v>24</v>
      </c>
      <c r="X597" s="3" t="s">
        <v>24</v>
      </c>
      <c r="Y597" s="3" t="s">
        <v>133</v>
      </c>
      <c r="Z597" s="3" t="s">
        <v>23</v>
      </c>
      <c r="AA597" s="3" t="s">
        <v>25</v>
      </c>
      <c r="AB597" s="3" t="str">
        <f>IF(crimenes_cordoba_ampliado[[#This Row],[Hubo Arresto]]="Sí", "Resuelto", "Pendiente")</f>
        <v>Resuelto</v>
      </c>
      <c r="AC597" s="3" t="s">
        <v>149</v>
      </c>
      <c r="AD597" s="3"/>
    </row>
    <row r="598" spans="1:30" x14ac:dyDescent="0.25">
      <c r="A598">
        <v>592</v>
      </c>
      <c r="B598" s="1">
        <v>42882</v>
      </c>
      <c r="C598" s="33">
        <f t="shared" si="18"/>
        <v>42882</v>
      </c>
      <c r="D598" s="34">
        <f t="shared" si="19"/>
        <v>42882</v>
      </c>
      <c r="E598" s="35" t="s">
        <v>1451</v>
      </c>
      <c r="F598" s="2">
        <v>0.82430555555555551</v>
      </c>
      <c r="G598" s="3" t="s">
        <v>81</v>
      </c>
      <c r="H598" s="3" t="s">
        <v>40</v>
      </c>
      <c r="I598" s="25" t="str">
        <f>VLOOKUP(H598,Tabla5[#All],4,FALSE)</f>
        <v>-31,334500143441, -64,2460773260564</v>
      </c>
      <c r="J598" s="1">
        <v>26811</v>
      </c>
      <c r="K598" s="7">
        <f>INT((crimenes_cordoba_ampliado[[#This Row],[Fecha]]-crimenes_cordoba_ampliado[[#This Row],[Fecha Nac. Delincuente]])/365)</f>
        <v>44</v>
      </c>
      <c r="L598" s="7" t="str">
        <f>_xlfn.XLOOKUP(crimenes_cordoba_ampliado[[#This Row],[EDAD DELINCUENTE]],'Rango etareo'!$A$10:$A$25,'Rango etareo'!$B$10:$B$25,,-1)</f>
        <v>36 - 45</v>
      </c>
      <c r="M598" s="3" t="s">
        <v>21</v>
      </c>
      <c r="N598" s="3" t="str">
        <f>IF(crimenes_cordoba_ampliado[[#This Row],[Género Delincuente]]="Femenino","🚺","🚹")</f>
        <v>🚺</v>
      </c>
      <c r="O598">
        <v>3</v>
      </c>
      <c r="P598" s="1">
        <v>41891</v>
      </c>
      <c r="Q598" s="7">
        <f>INT((crimenes_cordoba_ampliado[[#This Row],[Fecha]]-crimenes_cordoba_ampliado[[#This Row],[Fecha Nac. Víctima]])/365)</f>
        <v>2</v>
      </c>
      <c r="R598" s="7" t="str">
        <f>_xlfn.XLOOKUP(crimenes_cordoba_ampliado[[#This Row],[EDAD VICTIMA]],'Rango etareo'!$A$2:$A$25,'Rango etareo'!$B$2:$B$25,,-1)</f>
        <v>&lt;=17</v>
      </c>
      <c r="S598" s="3" t="s">
        <v>22</v>
      </c>
      <c r="T598" s="3" t="str">
        <f>IF(crimenes_cordoba_ampliado[[#This Row],[Género Víctima]]="Masculino","🚹","🚺")</f>
        <v>🚹</v>
      </c>
      <c r="U598">
        <v>2</v>
      </c>
      <c r="V598" s="3" t="s">
        <v>23</v>
      </c>
      <c r="W598" s="3" t="s">
        <v>24</v>
      </c>
      <c r="X598" s="3" t="s">
        <v>24</v>
      </c>
      <c r="Y598" s="3" t="s">
        <v>24</v>
      </c>
      <c r="Z598" s="3" t="s">
        <v>25</v>
      </c>
      <c r="AA598" s="3" t="s">
        <v>25</v>
      </c>
      <c r="AB598" s="3" t="str">
        <f>IF(crimenes_cordoba_ampliado[[#This Row],[Hubo Arresto]]="Sí", "Resuelto", "Pendiente")</f>
        <v>Resuelto</v>
      </c>
      <c r="AC598" s="3" t="s">
        <v>274</v>
      </c>
      <c r="AD598" s="3"/>
    </row>
    <row r="599" spans="1:30" x14ac:dyDescent="0.25">
      <c r="A599">
        <v>596</v>
      </c>
      <c r="B599" s="1">
        <v>43117</v>
      </c>
      <c r="C599" s="33">
        <f t="shared" si="18"/>
        <v>43117</v>
      </c>
      <c r="D599" s="34">
        <f t="shared" si="19"/>
        <v>43117</v>
      </c>
      <c r="E599" s="35" t="s">
        <v>1450</v>
      </c>
      <c r="F599" s="2">
        <v>0.83402777777777781</v>
      </c>
      <c r="G599" s="3" t="s">
        <v>45</v>
      </c>
      <c r="H599" s="3" t="s">
        <v>28</v>
      </c>
      <c r="I599" s="25" t="str">
        <f>VLOOKUP(H599,Tabla5[#All],4,FALSE)</f>
        <v>-31,4129883640337, -64,1681120522587</v>
      </c>
      <c r="J599" s="1">
        <v>19029</v>
      </c>
      <c r="K599" s="7">
        <f>INT((crimenes_cordoba_ampliado[[#This Row],[Fecha]]-crimenes_cordoba_ampliado[[#This Row],[Fecha Nac. Delincuente]])/365)</f>
        <v>65</v>
      </c>
      <c r="L599" s="7" t="str">
        <f>_xlfn.XLOOKUP(crimenes_cordoba_ampliado[[#This Row],[EDAD DELINCUENTE]],'Rango etareo'!$A$10:$A$25,'Rango etareo'!$B$10:$B$25,,-1)</f>
        <v>&gt;65</v>
      </c>
      <c r="M599" s="3" t="s">
        <v>21</v>
      </c>
      <c r="N599" s="3" t="str">
        <f>IF(crimenes_cordoba_ampliado[[#This Row],[Género Delincuente]]="Femenino","🚺","🚹")</f>
        <v>🚺</v>
      </c>
      <c r="O599">
        <v>3</v>
      </c>
      <c r="P599" s="1">
        <v>18064</v>
      </c>
      <c r="Q599" s="7">
        <f>INT((crimenes_cordoba_ampliado[[#This Row],[Fecha]]-crimenes_cordoba_ampliado[[#This Row],[Fecha Nac. Víctima]])/365)</f>
        <v>68</v>
      </c>
      <c r="R599" s="7" t="str">
        <f>_xlfn.XLOOKUP(crimenes_cordoba_ampliado[[#This Row],[EDAD VICTIMA]],'Rango etareo'!$A$2:$A$25,'Rango etareo'!$B$2:$B$25,,-1)</f>
        <v>&gt;65</v>
      </c>
      <c r="S599" s="3" t="s">
        <v>22</v>
      </c>
      <c r="T599" s="3" t="str">
        <f>IF(crimenes_cordoba_ampliado[[#This Row],[Género Víctima]]="Masculino","🚹","🚺")</f>
        <v>🚹</v>
      </c>
      <c r="U599">
        <v>1</v>
      </c>
      <c r="V599" s="3" t="s">
        <v>23</v>
      </c>
      <c r="W599" s="3" t="s">
        <v>24</v>
      </c>
      <c r="X599" s="3" t="s">
        <v>24</v>
      </c>
      <c r="Y599" s="3" t="s">
        <v>80</v>
      </c>
      <c r="Z599" s="3" t="s">
        <v>25</v>
      </c>
      <c r="AA599" s="3" t="s">
        <v>23</v>
      </c>
      <c r="AB599" s="3" t="str">
        <f>IF(crimenes_cordoba_ampliado[[#This Row],[Hubo Arresto]]="Sí", "Resuelto", "Pendiente")</f>
        <v>Resuelto</v>
      </c>
      <c r="AC599" s="3" t="s">
        <v>275</v>
      </c>
      <c r="AD599" s="3"/>
    </row>
    <row r="600" spans="1:30" x14ac:dyDescent="0.25">
      <c r="A600">
        <v>562</v>
      </c>
      <c r="B600" s="1">
        <v>44284</v>
      </c>
      <c r="C600" s="33">
        <f t="shared" si="18"/>
        <v>44284</v>
      </c>
      <c r="D600" s="34">
        <f t="shared" si="19"/>
        <v>44284</v>
      </c>
      <c r="E600" s="35" t="s">
        <v>1452</v>
      </c>
      <c r="F600" s="2">
        <v>0.55555555555555558</v>
      </c>
      <c r="G600" s="3" t="s">
        <v>42</v>
      </c>
      <c r="H600" s="3" t="s">
        <v>40</v>
      </c>
      <c r="I600" s="25" t="str">
        <f>VLOOKUP(H600,Tabla5[#All],4,FALSE)</f>
        <v>-31,334500143441, -64,2460773260564</v>
      </c>
      <c r="J600" s="1">
        <v>37331</v>
      </c>
      <c r="K600" s="7">
        <f>INT((crimenes_cordoba_ampliado[[#This Row],[Fecha]]-crimenes_cordoba_ampliado[[#This Row],[Fecha Nac. Delincuente]])/365)</f>
        <v>19</v>
      </c>
      <c r="L600" s="7" t="str">
        <f>_xlfn.XLOOKUP(crimenes_cordoba_ampliado[[#This Row],[EDAD DELINCUENTE]],'Rango etareo'!$A$10:$A$25,'Rango etareo'!$B$10:$B$25,,-1)</f>
        <v>18 - 25</v>
      </c>
      <c r="M600" s="3" t="s">
        <v>21</v>
      </c>
      <c r="N600" s="3" t="str">
        <f>IF(crimenes_cordoba_ampliado[[#This Row],[Género Delincuente]]="Femenino","🚺","🚹")</f>
        <v>🚺</v>
      </c>
      <c r="O600">
        <v>3</v>
      </c>
      <c r="P600" s="1">
        <v>23508</v>
      </c>
      <c r="Q600" s="7">
        <f>INT((crimenes_cordoba_ampliado[[#This Row],[Fecha]]-crimenes_cordoba_ampliado[[#This Row],[Fecha Nac. Víctima]])/365)</f>
        <v>56</v>
      </c>
      <c r="R600" s="7" t="str">
        <f>_xlfn.XLOOKUP(crimenes_cordoba_ampliado[[#This Row],[EDAD VICTIMA]],'Rango etareo'!$A$2:$A$25,'Rango etareo'!$B$2:$B$25,,-1)</f>
        <v>56 - 65</v>
      </c>
      <c r="S600" s="3" t="s">
        <v>21</v>
      </c>
      <c r="T600" s="3" t="str">
        <f>IF(crimenes_cordoba_ampliado[[#This Row],[Género Víctima]]="Masculino","🚹","🚺")</f>
        <v>🚺</v>
      </c>
      <c r="U600">
        <v>1</v>
      </c>
      <c r="V600" s="3" t="s">
        <v>25</v>
      </c>
      <c r="W600" s="3" t="s">
        <v>24</v>
      </c>
      <c r="X600" s="3" t="s">
        <v>24</v>
      </c>
      <c r="Y600" s="3" t="s">
        <v>69</v>
      </c>
      <c r="Z600" s="3" t="s">
        <v>23</v>
      </c>
      <c r="AA600" s="3" t="s">
        <v>25</v>
      </c>
      <c r="AB600" s="3" t="str">
        <f>IF(crimenes_cordoba_ampliado[[#This Row],[Hubo Arresto]]="Sí", "Resuelto", "Pendiente")</f>
        <v>Pendiente</v>
      </c>
      <c r="AC600" s="3" t="s">
        <v>24</v>
      </c>
      <c r="AD600" s="3"/>
    </row>
    <row r="601" spans="1:30" x14ac:dyDescent="0.25">
      <c r="A601">
        <v>399</v>
      </c>
      <c r="B601" s="1">
        <v>44292</v>
      </c>
      <c r="C601" s="33">
        <f t="shared" si="18"/>
        <v>44292</v>
      </c>
      <c r="D601" s="34">
        <f t="shared" si="19"/>
        <v>44292</v>
      </c>
      <c r="E601" s="35" t="s">
        <v>1453</v>
      </c>
      <c r="F601" s="2">
        <v>0.70833333333333337</v>
      </c>
      <c r="G601" s="3" t="s">
        <v>42</v>
      </c>
      <c r="H601" s="3" t="s">
        <v>60</v>
      </c>
      <c r="I601" s="25" t="str">
        <f>VLOOKUP(H601,Tabla5[#All],4,FALSE)</f>
        <v>-31,4076397196409, -64,2020170430678</v>
      </c>
      <c r="J601" s="1">
        <v>33089</v>
      </c>
      <c r="K601" s="7">
        <f>INT((crimenes_cordoba_ampliado[[#This Row],[Fecha]]-crimenes_cordoba_ampliado[[#This Row],[Fecha Nac. Delincuente]])/365)</f>
        <v>30</v>
      </c>
      <c r="L601" s="7" t="str">
        <f>_xlfn.XLOOKUP(crimenes_cordoba_ampliado[[#This Row],[EDAD DELINCUENTE]],'Rango etareo'!$A$10:$A$25,'Rango etareo'!$B$10:$B$25,,-1)</f>
        <v>26 - 35</v>
      </c>
      <c r="M601" s="3" t="s">
        <v>21</v>
      </c>
      <c r="N601" s="3" t="str">
        <f>IF(crimenes_cordoba_ampliado[[#This Row],[Género Delincuente]]="Femenino","🚺","🚹")</f>
        <v>🚺</v>
      </c>
      <c r="O601">
        <v>4</v>
      </c>
      <c r="P601" s="1">
        <v>24205</v>
      </c>
      <c r="Q601" s="7">
        <f>INT((crimenes_cordoba_ampliado[[#This Row],[Fecha]]-crimenes_cordoba_ampliado[[#This Row],[Fecha Nac. Víctima]])/365)</f>
        <v>55</v>
      </c>
      <c r="R601" s="7" t="str">
        <f>_xlfn.XLOOKUP(crimenes_cordoba_ampliado[[#This Row],[EDAD VICTIMA]],'Rango etareo'!$A$2:$A$25,'Rango etareo'!$B$2:$B$25,,-1)</f>
        <v>46 - 55</v>
      </c>
      <c r="S601" s="3" t="s">
        <v>21</v>
      </c>
      <c r="T601" s="3" t="str">
        <f>IF(crimenes_cordoba_ampliado[[#This Row],[Género Víctima]]="Masculino","🚹","🚺")</f>
        <v>🚺</v>
      </c>
      <c r="U601">
        <v>2</v>
      </c>
      <c r="V601" s="3" t="s">
        <v>25</v>
      </c>
      <c r="W601" s="3" t="s">
        <v>24</v>
      </c>
      <c r="X601" s="3" t="s">
        <v>24</v>
      </c>
      <c r="Y601" s="3" t="s">
        <v>56</v>
      </c>
      <c r="Z601" s="3" t="s">
        <v>25</v>
      </c>
      <c r="AA601" s="3" t="s">
        <v>23</v>
      </c>
      <c r="AB601" s="3" t="str">
        <f>IF(crimenes_cordoba_ampliado[[#This Row],[Hubo Arresto]]="Sí", "Resuelto", "Pendiente")</f>
        <v>Pendiente</v>
      </c>
      <c r="AC601" s="3" t="s">
        <v>24</v>
      </c>
      <c r="AD601" s="3"/>
    </row>
    <row r="602" spans="1:30" x14ac:dyDescent="0.25">
      <c r="A602">
        <v>597</v>
      </c>
      <c r="B602" s="1">
        <v>43313</v>
      </c>
      <c r="C602" s="33">
        <f t="shared" si="18"/>
        <v>43313</v>
      </c>
      <c r="D602" s="34">
        <f t="shared" si="19"/>
        <v>43313</v>
      </c>
      <c r="E602" s="35" t="s">
        <v>1450</v>
      </c>
      <c r="F602" s="2">
        <v>0.9243055555555556</v>
      </c>
      <c r="G602" s="3" t="s">
        <v>27</v>
      </c>
      <c r="H602" s="3" t="s">
        <v>28</v>
      </c>
      <c r="I602" s="25" t="str">
        <f>VLOOKUP(H602,Tabla5[#All],4,FALSE)</f>
        <v>-31,4129883640337, -64,1681120522587</v>
      </c>
      <c r="J602" s="1">
        <v>37440</v>
      </c>
      <c r="K602" s="7">
        <f>INT((crimenes_cordoba_ampliado[[#This Row],[Fecha]]-crimenes_cordoba_ampliado[[#This Row],[Fecha Nac. Delincuente]])/365)</f>
        <v>16</v>
      </c>
      <c r="L602" s="7" t="str">
        <f>_xlfn.XLOOKUP(crimenes_cordoba_ampliado[[#This Row],[EDAD DELINCUENTE]],'Rango etareo'!$A$10:$A$25,'Rango etareo'!$B$10:$B$25,,-1)</f>
        <v>&lt;=17</v>
      </c>
      <c r="M602" s="3" t="s">
        <v>21</v>
      </c>
      <c r="N602" s="3" t="str">
        <f>IF(crimenes_cordoba_ampliado[[#This Row],[Género Delincuente]]="Femenino","🚺","🚹")</f>
        <v>🚺</v>
      </c>
      <c r="O602">
        <v>5</v>
      </c>
      <c r="P602" s="1">
        <v>41533</v>
      </c>
      <c r="Q602" s="7">
        <f>INT((crimenes_cordoba_ampliado[[#This Row],[Fecha]]-crimenes_cordoba_ampliado[[#This Row],[Fecha Nac. Víctima]])/365)</f>
        <v>4</v>
      </c>
      <c r="R602" s="7" t="str">
        <f>_xlfn.XLOOKUP(crimenes_cordoba_ampliado[[#This Row],[EDAD VICTIMA]],'Rango etareo'!$A$2:$A$25,'Rango etareo'!$B$2:$B$25,,-1)</f>
        <v>&lt;=17</v>
      </c>
      <c r="S602" s="3" t="s">
        <v>22</v>
      </c>
      <c r="T602" s="3" t="str">
        <f>IF(crimenes_cordoba_ampliado[[#This Row],[Género Víctima]]="Masculino","🚹","🚺")</f>
        <v>🚹</v>
      </c>
      <c r="U602">
        <v>3</v>
      </c>
      <c r="V602" s="3" t="s">
        <v>23</v>
      </c>
      <c r="W602" s="3" t="s">
        <v>63</v>
      </c>
      <c r="X602" s="3" t="s">
        <v>24</v>
      </c>
      <c r="Y602" s="3" t="s">
        <v>99</v>
      </c>
      <c r="Z602" s="3" t="s">
        <v>25</v>
      </c>
      <c r="AA602" s="3" t="s">
        <v>25</v>
      </c>
      <c r="AB602" s="3" t="str">
        <f>IF(crimenes_cordoba_ampliado[[#This Row],[Hubo Arresto]]="Sí", "Resuelto", "Pendiente")</f>
        <v>Resuelto</v>
      </c>
      <c r="AC602" s="3" t="s">
        <v>158</v>
      </c>
      <c r="AD602" s="3"/>
    </row>
    <row r="603" spans="1:30" x14ac:dyDescent="0.25">
      <c r="A603">
        <v>638</v>
      </c>
      <c r="B603" s="1">
        <v>44302</v>
      </c>
      <c r="C603" s="33">
        <f t="shared" si="18"/>
        <v>44302</v>
      </c>
      <c r="D603" s="34">
        <f t="shared" si="19"/>
        <v>44302</v>
      </c>
      <c r="E603" s="35" t="s">
        <v>1455</v>
      </c>
      <c r="F603" s="2">
        <v>0.65625</v>
      </c>
      <c r="G603" s="3" t="s">
        <v>42</v>
      </c>
      <c r="H603" s="3" t="s">
        <v>28</v>
      </c>
      <c r="I603" s="25" t="str">
        <f>VLOOKUP(H603,Tabla5[#All],4,FALSE)</f>
        <v>-31,4129883640337, -64,1681120522587</v>
      </c>
      <c r="J603" s="1">
        <v>24236</v>
      </c>
      <c r="K603" s="7">
        <f>INT((crimenes_cordoba_ampliado[[#This Row],[Fecha]]-crimenes_cordoba_ampliado[[#This Row],[Fecha Nac. Delincuente]])/365)</f>
        <v>54</v>
      </c>
      <c r="L603" s="7" t="str">
        <f>_xlfn.XLOOKUP(crimenes_cordoba_ampliado[[#This Row],[EDAD DELINCUENTE]],'Rango etareo'!$A$10:$A$25,'Rango etareo'!$B$10:$B$25,,-1)</f>
        <v>46 - 55</v>
      </c>
      <c r="M603" s="3" t="s">
        <v>21</v>
      </c>
      <c r="N603" s="3" t="str">
        <f>IF(crimenes_cordoba_ampliado[[#This Row],[Género Delincuente]]="Femenino","🚺","🚹")</f>
        <v>🚺</v>
      </c>
      <c r="O603">
        <v>1</v>
      </c>
      <c r="P603" s="1">
        <v>25483</v>
      </c>
      <c r="Q603" s="7">
        <f>INT((crimenes_cordoba_ampliado[[#This Row],[Fecha]]-crimenes_cordoba_ampliado[[#This Row],[Fecha Nac. Víctima]])/365)</f>
        <v>51</v>
      </c>
      <c r="R603" s="7" t="str">
        <f>_xlfn.XLOOKUP(crimenes_cordoba_ampliado[[#This Row],[EDAD VICTIMA]],'Rango etareo'!$A$2:$A$25,'Rango etareo'!$B$2:$B$25,,-1)</f>
        <v>46 - 55</v>
      </c>
      <c r="S603" s="3" t="s">
        <v>22</v>
      </c>
      <c r="T603" s="3" t="str">
        <f>IF(crimenes_cordoba_ampliado[[#This Row],[Género Víctima]]="Masculino","🚹","🚺")</f>
        <v>🚹</v>
      </c>
      <c r="U603">
        <v>1</v>
      </c>
      <c r="V603" s="3" t="s">
        <v>25</v>
      </c>
      <c r="W603" s="3" t="s">
        <v>24</v>
      </c>
      <c r="X603" s="3" t="s">
        <v>24</v>
      </c>
      <c r="Y603" s="3" t="s">
        <v>89</v>
      </c>
      <c r="Z603" s="3" t="s">
        <v>25</v>
      </c>
      <c r="AA603" s="3" t="s">
        <v>23</v>
      </c>
      <c r="AB603" s="3" t="str">
        <f>IF(crimenes_cordoba_ampliado[[#This Row],[Hubo Arresto]]="Sí", "Resuelto", "Pendiente")</f>
        <v>Pendiente</v>
      </c>
      <c r="AC603" s="3" t="s">
        <v>24</v>
      </c>
      <c r="AD603" s="3"/>
    </row>
    <row r="604" spans="1:30" x14ac:dyDescent="0.25">
      <c r="A604">
        <v>599</v>
      </c>
      <c r="B604" s="1">
        <v>43753</v>
      </c>
      <c r="C604" s="33">
        <f t="shared" si="18"/>
        <v>43753</v>
      </c>
      <c r="D604" s="34">
        <f t="shared" si="19"/>
        <v>43753</v>
      </c>
      <c r="E604" s="35" t="s">
        <v>1453</v>
      </c>
      <c r="F604" s="2">
        <v>0.91527777777777775</v>
      </c>
      <c r="G604" s="3" t="s">
        <v>45</v>
      </c>
      <c r="H604" s="3" t="s">
        <v>62</v>
      </c>
      <c r="I604" s="25" t="str">
        <f>VLOOKUP(H604,Tabla5[#All],4,FALSE)</f>
        <v>-31,3909520937826, -64,1836424491715</v>
      </c>
      <c r="J604" s="1">
        <v>37834</v>
      </c>
      <c r="K604" s="7">
        <f>INT((crimenes_cordoba_ampliado[[#This Row],[Fecha]]-crimenes_cordoba_ampliado[[#This Row],[Fecha Nac. Delincuente]])/365)</f>
        <v>16</v>
      </c>
      <c r="L604" s="7" t="str">
        <f>_xlfn.XLOOKUP(crimenes_cordoba_ampliado[[#This Row],[EDAD DELINCUENTE]],'Rango etareo'!$A$10:$A$25,'Rango etareo'!$B$10:$B$25,,-1)</f>
        <v>&lt;=17</v>
      </c>
      <c r="M604" s="3" t="s">
        <v>21</v>
      </c>
      <c r="N604" s="3" t="str">
        <f>IF(crimenes_cordoba_ampliado[[#This Row],[Género Delincuente]]="Femenino","🚺","🚹")</f>
        <v>🚺</v>
      </c>
      <c r="O604">
        <v>4</v>
      </c>
      <c r="P604" s="1">
        <v>41065</v>
      </c>
      <c r="Q604" s="7">
        <f>INT((crimenes_cordoba_ampliado[[#This Row],[Fecha]]-crimenes_cordoba_ampliado[[#This Row],[Fecha Nac. Víctima]])/365)</f>
        <v>7</v>
      </c>
      <c r="R604" s="7" t="str">
        <f>_xlfn.XLOOKUP(crimenes_cordoba_ampliado[[#This Row],[EDAD VICTIMA]],'Rango etareo'!$A$2:$A$25,'Rango etareo'!$B$2:$B$25,,-1)</f>
        <v>&lt;=17</v>
      </c>
      <c r="S604" s="3" t="s">
        <v>22</v>
      </c>
      <c r="T604" s="3" t="str">
        <f>IF(crimenes_cordoba_ampliado[[#This Row],[Género Víctima]]="Masculino","🚹","🚺")</f>
        <v>🚹</v>
      </c>
      <c r="U604">
        <v>1</v>
      </c>
      <c r="V604" s="3" t="s">
        <v>23</v>
      </c>
      <c r="W604" s="3" t="s">
        <v>24</v>
      </c>
      <c r="X604" s="3" t="s">
        <v>50</v>
      </c>
      <c r="Y604" s="3" t="s">
        <v>24</v>
      </c>
      <c r="Z604" s="3" t="s">
        <v>25</v>
      </c>
      <c r="AA604" s="3" t="s">
        <v>25</v>
      </c>
      <c r="AB604" s="3" t="str">
        <f>IF(crimenes_cordoba_ampliado[[#This Row],[Hubo Arresto]]="Sí", "Resuelto", "Pendiente")</f>
        <v>Resuelto</v>
      </c>
      <c r="AC604" s="3" t="s">
        <v>276</v>
      </c>
      <c r="AD604" s="3"/>
    </row>
    <row r="605" spans="1:30" x14ac:dyDescent="0.25">
      <c r="A605">
        <v>747</v>
      </c>
      <c r="B605" s="1">
        <v>44307</v>
      </c>
      <c r="C605" s="33">
        <f t="shared" si="18"/>
        <v>44307</v>
      </c>
      <c r="D605" s="34">
        <f t="shared" si="19"/>
        <v>44307</v>
      </c>
      <c r="E605" s="35" t="s">
        <v>1450</v>
      </c>
      <c r="F605" s="2">
        <v>0.58680555555555558</v>
      </c>
      <c r="G605" s="3" t="s">
        <v>51</v>
      </c>
      <c r="H605" s="3" t="s">
        <v>32</v>
      </c>
      <c r="I605" s="25" t="str">
        <f>VLOOKUP(H605,Tabla5[#All],4,FALSE)</f>
        <v>-31,4148488101991, -64,1793406489438</v>
      </c>
      <c r="J605" s="1">
        <v>36778</v>
      </c>
      <c r="K605" s="7">
        <f>INT((crimenes_cordoba_ampliado[[#This Row],[Fecha]]-crimenes_cordoba_ampliado[[#This Row],[Fecha Nac. Delincuente]])/365)</f>
        <v>20</v>
      </c>
      <c r="L605" s="7" t="str">
        <f>_xlfn.XLOOKUP(crimenes_cordoba_ampliado[[#This Row],[EDAD DELINCUENTE]],'Rango etareo'!$A$10:$A$25,'Rango etareo'!$B$10:$B$25,,-1)</f>
        <v>18 - 25</v>
      </c>
      <c r="M605" s="3" t="s">
        <v>22</v>
      </c>
      <c r="N605" s="3" t="str">
        <f>IF(crimenes_cordoba_ampliado[[#This Row],[Género Delincuente]]="Femenino","🚺","🚹")</f>
        <v>🚹</v>
      </c>
      <c r="O605">
        <v>2</v>
      </c>
      <c r="P605" s="1">
        <v>35028</v>
      </c>
      <c r="Q605" s="7">
        <f>INT((crimenes_cordoba_ampliado[[#This Row],[Fecha]]-crimenes_cordoba_ampliado[[#This Row],[Fecha Nac. Víctima]])/365)</f>
        <v>25</v>
      </c>
      <c r="R605" s="7" t="str">
        <f>_xlfn.XLOOKUP(crimenes_cordoba_ampliado[[#This Row],[EDAD VICTIMA]],'Rango etareo'!$A$2:$A$25,'Rango etareo'!$B$2:$B$25,,-1)</f>
        <v>18 - 25</v>
      </c>
      <c r="S605" s="3" t="s">
        <v>21</v>
      </c>
      <c r="T605" s="3" t="str">
        <f>IF(crimenes_cordoba_ampliado[[#This Row],[Género Víctima]]="Masculino","🚹","🚺")</f>
        <v>🚺</v>
      </c>
      <c r="U605">
        <v>2</v>
      </c>
      <c r="V605" s="3" t="s">
        <v>25</v>
      </c>
      <c r="W605" s="3" t="s">
        <v>24</v>
      </c>
      <c r="X605" s="3" t="s">
        <v>50</v>
      </c>
      <c r="Y605" s="3" t="s">
        <v>24</v>
      </c>
      <c r="Z605" s="3" t="s">
        <v>23</v>
      </c>
      <c r="AA605" s="3" t="s">
        <v>23</v>
      </c>
      <c r="AB605" s="3" t="str">
        <f>IF(crimenes_cordoba_ampliado[[#This Row],[Hubo Arresto]]="Sí", "Resuelto", "Pendiente")</f>
        <v>Pendiente</v>
      </c>
      <c r="AC605" s="3" t="s">
        <v>24</v>
      </c>
      <c r="AD605" s="3"/>
    </row>
    <row r="606" spans="1:30" x14ac:dyDescent="0.25">
      <c r="A606">
        <v>774</v>
      </c>
      <c r="B606" s="1">
        <v>44309</v>
      </c>
      <c r="C606" s="33">
        <f t="shared" si="18"/>
        <v>44309</v>
      </c>
      <c r="D606" s="34">
        <f t="shared" si="19"/>
        <v>44309</v>
      </c>
      <c r="E606" s="35" t="s">
        <v>1455</v>
      </c>
      <c r="F606" s="2">
        <v>0.22916666666666666</v>
      </c>
      <c r="G606" s="3" t="s">
        <v>81</v>
      </c>
      <c r="H606" s="3" t="s">
        <v>40</v>
      </c>
      <c r="I606" s="25" t="str">
        <f>VLOOKUP(H606,Tabla5[#All],4,FALSE)</f>
        <v>-31,334500143441, -64,2460773260564</v>
      </c>
      <c r="J606" s="1">
        <v>24269</v>
      </c>
      <c r="K606" s="7">
        <f>INT((crimenes_cordoba_ampliado[[#This Row],[Fecha]]-crimenes_cordoba_ampliado[[#This Row],[Fecha Nac. Delincuente]])/365)</f>
        <v>54</v>
      </c>
      <c r="L606" s="7" t="str">
        <f>_xlfn.XLOOKUP(crimenes_cordoba_ampliado[[#This Row],[EDAD DELINCUENTE]],'Rango etareo'!$A$10:$A$25,'Rango etareo'!$B$10:$B$25,,-1)</f>
        <v>46 - 55</v>
      </c>
      <c r="M606" s="3" t="s">
        <v>22</v>
      </c>
      <c r="N606" s="3" t="str">
        <f>IF(crimenes_cordoba_ampliado[[#This Row],[Género Delincuente]]="Femenino","🚺","🚹")</f>
        <v>🚹</v>
      </c>
      <c r="O606">
        <v>1</v>
      </c>
      <c r="P606" s="1">
        <v>27468</v>
      </c>
      <c r="Q606" s="7">
        <f>INT((crimenes_cordoba_ampliado[[#This Row],[Fecha]]-crimenes_cordoba_ampliado[[#This Row],[Fecha Nac. Víctima]])/365)</f>
        <v>46</v>
      </c>
      <c r="R606" s="7" t="str">
        <f>_xlfn.XLOOKUP(crimenes_cordoba_ampliado[[#This Row],[EDAD VICTIMA]],'Rango etareo'!$A$2:$A$25,'Rango etareo'!$B$2:$B$25,,-1)</f>
        <v>46 - 55</v>
      </c>
      <c r="S606" s="3" t="s">
        <v>22</v>
      </c>
      <c r="T606" s="3" t="str">
        <f>IF(crimenes_cordoba_ampliado[[#This Row],[Género Víctima]]="Masculino","🚹","🚺")</f>
        <v>🚹</v>
      </c>
      <c r="U606">
        <v>2</v>
      </c>
      <c r="V606" s="3" t="s">
        <v>25</v>
      </c>
      <c r="W606" s="3" t="s">
        <v>24</v>
      </c>
      <c r="X606" s="3" t="s">
        <v>24</v>
      </c>
      <c r="Y606" s="3" t="s">
        <v>46</v>
      </c>
      <c r="Z606" s="3" t="s">
        <v>23</v>
      </c>
      <c r="AA606" s="3" t="s">
        <v>23</v>
      </c>
      <c r="AB606" s="3" t="str">
        <f>IF(crimenes_cordoba_ampliado[[#This Row],[Hubo Arresto]]="Sí", "Resuelto", "Pendiente")</f>
        <v>Pendiente</v>
      </c>
      <c r="AC606" s="3" t="s">
        <v>24</v>
      </c>
      <c r="AD606" s="3"/>
    </row>
    <row r="607" spans="1:30" x14ac:dyDescent="0.25">
      <c r="A607">
        <v>375</v>
      </c>
      <c r="B607" s="1">
        <v>44313</v>
      </c>
      <c r="C607" s="33">
        <f t="shared" si="18"/>
        <v>44313</v>
      </c>
      <c r="D607" s="34">
        <f t="shared" si="19"/>
        <v>44313</v>
      </c>
      <c r="E607" s="35" t="s">
        <v>1453</v>
      </c>
      <c r="F607" s="2">
        <v>0.71875</v>
      </c>
      <c r="G607" s="3" t="s">
        <v>48</v>
      </c>
      <c r="H607" s="3" t="s">
        <v>28</v>
      </c>
      <c r="I607" s="25" t="str">
        <f>VLOOKUP(H607,Tabla5[#All],4,FALSE)</f>
        <v>-31,4129883640337, -64,1681120522587</v>
      </c>
      <c r="J607" s="1">
        <v>26807</v>
      </c>
      <c r="K607" s="7">
        <f>INT((crimenes_cordoba_ampliado[[#This Row],[Fecha]]-crimenes_cordoba_ampliado[[#This Row],[Fecha Nac. Delincuente]])/365)</f>
        <v>47</v>
      </c>
      <c r="L607" s="7" t="str">
        <f>_xlfn.XLOOKUP(crimenes_cordoba_ampliado[[#This Row],[EDAD DELINCUENTE]],'Rango etareo'!$A$10:$A$25,'Rango etareo'!$B$10:$B$25,,-1)</f>
        <v>46 - 55</v>
      </c>
      <c r="M607" s="3" t="s">
        <v>22</v>
      </c>
      <c r="N607" s="3" t="str">
        <f>IF(crimenes_cordoba_ampliado[[#This Row],[Género Delincuente]]="Femenino","🚺","🚹")</f>
        <v>🚹</v>
      </c>
      <c r="O607">
        <v>2</v>
      </c>
      <c r="P607" s="1">
        <v>16995</v>
      </c>
      <c r="Q607" s="7">
        <f>INT((crimenes_cordoba_ampliado[[#This Row],[Fecha]]-crimenes_cordoba_ampliado[[#This Row],[Fecha Nac. Víctima]])/365)</f>
        <v>74</v>
      </c>
      <c r="R607" s="7" t="str">
        <f>_xlfn.XLOOKUP(crimenes_cordoba_ampliado[[#This Row],[EDAD VICTIMA]],'Rango etareo'!$A$2:$A$25,'Rango etareo'!$B$2:$B$25,,-1)</f>
        <v>&gt;65</v>
      </c>
      <c r="S607" s="3" t="s">
        <v>22</v>
      </c>
      <c r="T607" s="3" t="str">
        <f>IF(crimenes_cordoba_ampliado[[#This Row],[Género Víctima]]="Masculino","🚹","🚺")</f>
        <v>🚹</v>
      </c>
      <c r="U607">
        <v>1</v>
      </c>
      <c r="V607" s="3" t="s">
        <v>25</v>
      </c>
      <c r="W607" s="3" t="s">
        <v>24</v>
      </c>
      <c r="X607" s="3" t="s">
        <v>24</v>
      </c>
      <c r="Y607" s="3" t="s">
        <v>56</v>
      </c>
      <c r="Z607" s="3" t="s">
        <v>25</v>
      </c>
      <c r="AA607" s="3" t="s">
        <v>23</v>
      </c>
      <c r="AB607" s="3" t="str">
        <f>IF(crimenes_cordoba_ampliado[[#This Row],[Hubo Arresto]]="Sí", "Resuelto", "Pendiente")</f>
        <v>Pendiente</v>
      </c>
      <c r="AC607" s="3" t="s">
        <v>24</v>
      </c>
      <c r="AD607" s="3"/>
    </row>
    <row r="608" spans="1:30" x14ac:dyDescent="0.25">
      <c r="A608">
        <v>601</v>
      </c>
      <c r="B608" s="1">
        <v>45425</v>
      </c>
      <c r="C608" s="33">
        <f t="shared" si="18"/>
        <v>45425</v>
      </c>
      <c r="D608" s="34">
        <f t="shared" si="19"/>
        <v>45425</v>
      </c>
      <c r="E608" s="35" t="s">
        <v>1452</v>
      </c>
      <c r="F608" s="2">
        <v>0.72777777777777775</v>
      </c>
      <c r="G608" s="3" t="s">
        <v>19</v>
      </c>
      <c r="H608" s="3" t="s">
        <v>52</v>
      </c>
      <c r="I608" s="25" t="str">
        <f>VLOOKUP(H608,Tabla5[#All],4,FALSE)</f>
        <v>-31,3477902896523, -64,2644406169297</v>
      </c>
      <c r="J608" s="1">
        <v>34394</v>
      </c>
      <c r="K608" s="7">
        <f>INT((crimenes_cordoba_ampliado[[#This Row],[Fecha]]-crimenes_cordoba_ampliado[[#This Row],[Fecha Nac. Delincuente]])/365)</f>
        <v>30</v>
      </c>
      <c r="L608" s="7" t="str">
        <f>_xlfn.XLOOKUP(crimenes_cordoba_ampliado[[#This Row],[EDAD DELINCUENTE]],'Rango etareo'!$A$10:$A$25,'Rango etareo'!$B$10:$B$25,,-1)</f>
        <v>26 - 35</v>
      </c>
      <c r="M608" s="3" t="s">
        <v>22</v>
      </c>
      <c r="N608" s="3" t="str">
        <f>IF(crimenes_cordoba_ampliado[[#This Row],[Género Delincuente]]="Femenino","🚺","🚹")</f>
        <v>🚹</v>
      </c>
      <c r="O608">
        <v>3</v>
      </c>
      <c r="P608" s="1">
        <v>15768</v>
      </c>
      <c r="Q608" s="7">
        <f>INT((crimenes_cordoba_ampliado[[#This Row],[Fecha]]-crimenes_cordoba_ampliado[[#This Row],[Fecha Nac. Víctima]])/365)</f>
        <v>81</v>
      </c>
      <c r="R608" s="7" t="str">
        <f>_xlfn.XLOOKUP(crimenes_cordoba_ampliado[[#This Row],[EDAD VICTIMA]],'Rango etareo'!$A$2:$A$25,'Rango etareo'!$B$2:$B$25,,-1)</f>
        <v>&gt;65</v>
      </c>
      <c r="S608" s="3" t="s">
        <v>22</v>
      </c>
      <c r="T608" s="3" t="str">
        <f>IF(crimenes_cordoba_ampliado[[#This Row],[Género Víctima]]="Masculino","🚹","🚺")</f>
        <v>🚹</v>
      </c>
      <c r="U608">
        <v>2</v>
      </c>
      <c r="V608" s="3" t="s">
        <v>23</v>
      </c>
      <c r="W608" s="3" t="s">
        <v>24</v>
      </c>
      <c r="X608" s="3" t="s">
        <v>24</v>
      </c>
      <c r="Y608" s="3" t="s">
        <v>39</v>
      </c>
      <c r="Z608" s="3" t="s">
        <v>25</v>
      </c>
      <c r="AA608" s="3" t="s">
        <v>25</v>
      </c>
      <c r="AB608" s="3" t="str">
        <f>IF(crimenes_cordoba_ampliado[[#This Row],[Hubo Arresto]]="Sí", "Resuelto", "Pendiente")</f>
        <v>Resuelto</v>
      </c>
      <c r="AC608" s="3" t="s">
        <v>277</v>
      </c>
      <c r="AD608" s="3"/>
    </row>
    <row r="609" spans="1:30" x14ac:dyDescent="0.25">
      <c r="A609">
        <v>55</v>
      </c>
      <c r="B609" s="1">
        <v>44326</v>
      </c>
      <c r="C609" s="33">
        <f t="shared" si="18"/>
        <v>44326</v>
      </c>
      <c r="D609" s="34">
        <f t="shared" si="19"/>
        <v>44326</v>
      </c>
      <c r="E609" s="35" t="s">
        <v>1452</v>
      </c>
      <c r="F609" s="2">
        <v>0.73819444444444449</v>
      </c>
      <c r="G609" s="3" t="s">
        <v>31</v>
      </c>
      <c r="H609" s="3" t="s">
        <v>52</v>
      </c>
      <c r="I609" s="25" t="str">
        <f>VLOOKUP(H609,Tabla5[#All],4,FALSE)</f>
        <v>-31,3477902896523, -64,2644406169297</v>
      </c>
      <c r="J609" s="1">
        <v>25690</v>
      </c>
      <c r="K609" s="7">
        <f>INT((crimenes_cordoba_ampliado[[#This Row],[Fecha]]-crimenes_cordoba_ampliado[[#This Row],[Fecha Nac. Delincuente]])/365)</f>
        <v>51</v>
      </c>
      <c r="L609" s="7" t="str">
        <f>_xlfn.XLOOKUP(crimenes_cordoba_ampliado[[#This Row],[EDAD DELINCUENTE]],'Rango etareo'!$A$10:$A$25,'Rango etareo'!$B$10:$B$25,,-1)</f>
        <v>46 - 55</v>
      </c>
      <c r="M609" s="3" t="s">
        <v>21</v>
      </c>
      <c r="N609" s="3" t="str">
        <f>IF(crimenes_cordoba_ampliado[[#This Row],[Género Delincuente]]="Femenino","🚺","🚹")</f>
        <v>🚺</v>
      </c>
      <c r="O609">
        <v>5</v>
      </c>
      <c r="P609" s="1">
        <v>17675</v>
      </c>
      <c r="Q609" s="7">
        <f>INT((crimenes_cordoba_ampliado[[#This Row],[Fecha]]-crimenes_cordoba_ampliado[[#This Row],[Fecha Nac. Víctima]])/365)</f>
        <v>73</v>
      </c>
      <c r="R609" s="7" t="str">
        <f>_xlfn.XLOOKUP(crimenes_cordoba_ampliado[[#This Row],[EDAD VICTIMA]],'Rango etareo'!$A$2:$A$25,'Rango etareo'!$B$2:$B$25,,-1)</f>
        <v>&gt;65</v>
      </c>
      <c r="S609" s="3" t="s">
        <v>22</v>
      </c>
      <c r="T609" s="3" t="str">
        <f>IF(crimenes_cordoba_ampliado[[#This Row],[Género Víctima]]="Masculino","🚹","🚺")</f>
        <v>🚹</v>
      </c>
      <c r="U609">
        <v>2</v>
      </c>
      <c r="V609" s="3" t="s">
        <v>25</v>
      </c>
      <c r="W609" s="3" t="s">
        <v>24</v>
      </c>
      <c r="X609" s="3" t="s">
        <v>24</v>
      </c>
      <c r="Y609" s="3" t="s">
        <v>89</v>
      </c>
      <c r="Z609" s="3" t="s">
        <v>25</v>
      </c>
      <c r="AA609" s="3" t="s">
        <v>23</v>
      </c>
      <c r="AB609" s="3" t="str">
        <f>IF(crimenes_cordoba_ampliado[[#This Row],[Hubo Arresto]]="Sí", "Resuelto", "Pendiente")</f>
        <v>Pendiente</v>
      </c>
      <c r="AC609" s="3" t="s">
        <v>24</v>
      </c>
      <c r="AD609" s="3"/>
    </row>
    <row r="610" spans="1:30" x14ac:dyDescent="0.25">
      <c r="A610">
        <v>602</v>
      </c>
      <c r="B610" s="1">
        <v>43233</v>
      </c>
      <c r="C610" s="33">
        <f t="shared" si="18"/>
        <v>43233</v>
      </c>
      <c r="D610" s="34">
        <f t="shared" si="19"/>
        <v>43233</v>
      </c>
      <c r="E610" s="35" t="s">
        <v>1449</v>
      </c>
      <c r="F610" s="2">
        <v>0.46597222222222223</v>
      </c>
      <c r="G610" s="3" t="s">
        <v>45</v>
      </c>
      <c r="H610" s="3" t="s">
        <v>70</v>
      </c>
      <c r="I610" s="25" t="str">
        <f>VLOOKUP(H610,Tabla5[#All],4,FALSE)</f>
        <v>-31,3759272890294, -64,2284587792478</v>
      </c>
      <c r="J610" s="1">
        <v>36483</v>
      </c>
      <c r="K610" s="7">
        <f>INT((crimenes_cordoba_ampliado[[#This Row],[Fecha]]-crimenes_cordoba_ampliado[[#This Row],[Fecha Nac. Delincuente]])/365)</f>
        <v>18</v>
      </c>
      <c r="L610" s="7" t="str">
        <f>_xlfn.XLOOKUP(crimenes_cordoba_ampliado[[#This Row],[EDAD DELINCUENTE]],'Rango etareo'!$A$10:$A$25,'Rango etareo'!$B$10:$B$25,,-1)</f>
        <v>18 - 25</v>
      </c>
      <c r="M610" s="3" t="s">
        <v>22</v>
      </c>
      <c r="N610" s="3" t="str">
        <f>IF(crimenes_cordoba_ampliado[[#This Row],[Género Delincuente]]="Femenino","🚺","🚹")</f>
        <v>🚹</v>
      </c>
      <c r="O610">
        <v>3</v>
      </c>
      <c r="P610" s="1">
        <v>26630</v>
      </c>
      <c r="Q610" s="7">
        <f>INT((crimenes_cordoba_ampliado[[#This Row],[Fecha]]-crimenes_cordoba_ampliado[[#This Row],[Fecha Nac. Víctima]])/365)</f>
        <v>45</v>
      </c>
      <c r="R610" s="7" t="str">
        <f>_xlfn.XLOOKUP(crimenes_cordoba_ampliado[[#This Row],[EDAD VICTIMA]],'Rango etareo'!$A$2:$A$25,'Rango etareo'!$B$2:$B$25,,-1)</f>
        <v>36 - 45</v>
      </c>
      <c r="S610" s="3" t="s">
        <v>21</v>
      </c>
      <c r="T610" s="3" t="str">
        <f>IF(crimenes_cordoba_ampliado[[#This Row],[Género Víctima]]="Masculino","🚹","🚺")</f>
        <v>🚺</v>
      </c>
      <c r="U610">
        <v>3</v>
      </c>
      <c r="V610" s="3" t="s">
        <v>23</v>
      </c>
      <c r="W610" s="3" t="s">
        <v>24</v>
      </c>
      <c r="X610" s="3" t="s">
        <v>24</v>
      </c>
      <c r="Y610" s="3" t="s">
        <v>39</v>
      </c>
      <c r="Z610" s="3" t="s">
        <v>25</v>
      </c>
      <c r="AA610" s="3" t="s">
        <v>25</v>
      </c>
      <c r="AB610" s="3" t="str">
        <f>IF(crimenes_cordoba_ampliado[[#This Row],[Hubo Arresto]]="Sí", "Resuelto", "Pendiente")</f>
        <v>Resuelto</v>
      </c>
      <c r="AC610" s="3" t="s">
        <v>270</v>
      </c>
      <c r="AD610" s="3"/>
    </row>
    <row r="611" spans="1:30" x14ac:dyDescent="0.25">
      <c r="A611">
        <v>548</v>
      </c>
      <c r="B611" s="1">
        <v>44328</v>
      </c>
      <c r="C611" s="33">
        <f t="shared" si="18"/>
        <v>44328</v>
      </c>
      <c r="D611" s="34">
        <f t="shared" si="19"/>
        <v>44328</v>
      </c>
      <c r="E611" s="35" t="s">
        <v>1450</v>
      </c>
      <c r="F611" s="2">
        <v>0.74027777777777781</v>
      </c>
      <c r="G611" s="3" t="s">
        <v>19</v>
      </c>
      <c r="H611" s="3" t="s">
        <v>32</v>
      </c>
      <c r="I611" s="25" t="str">
        <f>VLOOKUP(H611,Tabla5[#All],4,FALSE)</f>
        <v>-31,4148488101991, -64,1793406489438</v>
      </c>
      <c r="J611" s="1">
        <v>21970</v>
      </c>
      <c r="K611" s="7">
        <f>INT((crimenes_cordoba_ampliado[[#This Row],[Fecha]]-crimenes_cordoba_ampliado[[#This Row],[Fecha Nac. Delincuente]])/365)</f>
        <v>61</v>
      </c>
      <c r="L611" s="7" t="str">
        <f>_xlfn.XLOOKUP(crimenes_cordoba_ampliado[[#This Row],[EDAD DELINCUENTE]],'Rango etareo'!$A$10:$A$25,'Rango etareo'!$B$10:$B$25,,-1)</f>
        <v>56 - 65</v>
      </c>
      <c r="M611" s="3" t="s">
        <v>21</v>
      </c>
      <c r="N611" s="3" t="str">
        <f>IF(crimenes_cordoba_ampliado[[#This Row],[Género Delincuente]]="Femenino","🚺","🚹")</f>
        <v>🚺</v>
      </c>
      <c r="O611">
        <v>4</v>
      </c>
      <c r="P611" s="1">
        <v>31861</v>
      </c>
      <c r="Q611" s="7">
        <f>INT((crimenes_cordoba_ampliado[[#This Row],[Fecha]]-crimenes_cordoba_ampliado[[#This Row],[Fecha Nac. Víctima]])/365)</f>
        <v>34</v>
      </c>
      <c r="R611" s="7" t="str">
        <f>_xlfn.XLOOKUP(crimenes_cordoba_ampliado[[#This Row],[EDAD VICTIMA]],'Rango etareo'!$A$2:$A$25,'Rango etareo'!$B$2:$B$25,,-1)</f>
        <v>26 - 35</v>
      </c>
      <c r="S611" s="3" t="s">
        <v>22</v>
      </c>
      <c r="T611" s="3" t="str">
        <f>IF(crimenes_cordoba_ampliado[[#This Row],[Género Víctima]]="Masculino","🚹","🚺")</f>
        <v>🚹</v>
      </c>
      <c r="U611">
        <v>2</v>
      </c>
      <c r="V611" s="3" t="s">
        <v>25</v>
      </c>
      <c r="W611" s="3" t="s">
        <v>24</v>
      </c>
      <c r="X611" s="3" t="s">
        <v>24</v>
      </c>
      <c r="Y611" s="3" t="s">
        <v>69</v>
      </c>
      <c r="Z611" s="3" t="s">
        <v>25</v>
      </c>
      <c r="AA611" s="3" t="s">
        <v>25</v>
      </c>
      <c r="AB611" s="3" t="str">
        <f>IF(crimenes_cordoba_ampliado[[#This Row],[Hubo Arresto]]="Sí", "Resuelto", "Pendiente")</f>
        <v>Pendiente</v>
      </c>
      <c r="AC611" s="3" t="s">
        <v>24</v>
      </c>
      <c r="AD611" s="3"/>
    </row>
    <row r="612" spans="1:30" x14ac:dyDescent="0.25">
      <c r="A612">
        <v>607</v>
      </c>
      <c r="B612" s="1">
        <v>43804</v>
      </c>
      <c r="C612" s="33">
        <f t="shared" si="18"/>
        <v>43804</v>
      </c>
      <c r="D612" s="34">
        <f t="shared" si="19"/>
        <v>43804</v>
      </c>
      <c r="E612" s="35" t="s">
        <v>1454</v>
      </c>
      <c r="F612" s="2">
        <v>0.80694444444444446</v>
      </c>
      <c r="G612" s="3" t="s">
        <v>48</v>
      </c>
      <c r="H612" s="3" t="s">
        <v>52</v>
      </c>
      <c r="I612" s="25" t="str">
        <f>VLOOKUP(H612,Tabla5[#All],4,FALSE)</f>
        <v>-31,3477902896523, -64,2644406169297</v>
      </c>
      <c r="J612" s="1">
        <v>32453</v>
      </c>
      <c r="K612" s="7">
        <f>INT((crimenes_cordoba_ampliado[[#This Row],[Fecha]]-crimenes_cordoba_ampliado[[#This Row],[Fecha Nac. Delincuente]])/365)</f>
        <v>31</v>
      </c>
      <c r="L612" s="7" t="str">
        <f>_xlfn.XLOOKUP(crimenes_cordoba_ampliado[[#This Row],[EDAD DELINCUENTE]],'Rango etareo'!$A$10:$A$25,'Rango etareo'!$B$10:$B$25,,-1)</f>
        <v>26 - 35</v>
      </c>
      <c r="M612" s="3" t="s">
        <v>21</v>
      </c>
      <c r="N612" s="3" t="str">
        <f>IF(crimenes_cordoba_ampliado[[#This Row],[Género Delincuente]]="Femenino","🚺","🚹")</f>
        <v>🚺</v>
      </c>
      <c r="O612">
        <v>5</v>
      </c>
      <c r="P612" s="1">
        <v>18995</v>
      </c>
      <c r="Q612" s="7">
        <f>INT((crimenes_cordoba_ampliado[[#This Row],[Fecha]]-crimenes_cordoba_ampliado[[#This Row],[Fecha Nac. Víctima]])/365)</f>
        <v>67</v>
      </c>
      <c r="R612" s="7" t="str">
        <f>_xlfn.XLOOKUP(crimenes_cordoba_ampliado[[#This Row],[EDAD VICTIMA]],'Rango etareo'!$A$2:$A$25,'Rango etareo'!$B$2:$B$25,,-1)</f>
        <v>&gt;65</v>
      </c>
      <c r="S612" s="3" t="s">
        <v>22</v>
      </c>
      <c r="T612" s="3" t="str">
        <f>IF(crimenes_cordoba_ampliado[[#This Row],[Género Víctima]]="Masculino","🚹","🚺")</f>
        <v>🚹</v>
      </c>
      <c r="U612">
        <v>1</v>
      </c>
      <c r="V612" s="3" t="s">
        <v>23</v>
      </c>
      <c r="W612" s="3" t="s">
        <v>24</v>
      </c>
      <c r="X612" s="3" t="s">
        <v>24</v>
      </c>
      <c r="Y612" s="3" t="s">
        <v>33</v>
      </c>
      <c r="Z612" s="3" t="s">
        <v>25</v>
      </c>
      <c r="AA612" s="3" t="s">
        <v>25</v>
      </c>
      <c r="AB612" s="3" t="str">
        <f>IF(crimenes_cordoba_ampliado[[#This Row],[Hubo Arresto]]="Sí", "Resuelto", "Pendiente")</f>
        <v>Resuelto</v>
      </c>
      <c r="AC612" s="3" t="s">
        <v>141</v>
      </c>
      <c r="AD612" s="3"/>
    </row>
    <row r="613" spans="1:30" x14ac:dyDescent="0.25">
      <c r="A613">
        <v>608</v>
      </c>
      <c r="B613" s="1">
        <v>43492</v>
      </c>
      <c r="C613" s="33">
        <f t="shared" si="18"/>
        <v>43492</v>
      </c>
      <c r="D613" s="34">
        <f t="shared" si="19"/>
        <v>43492</v>
      </c>
      <c r="E613" s="35" t="s">
        <v>1449</v>
      </c>
      <c r="F613" s="2">
        <v>0.99930555555555556</v>
      </c>
      <c r="G613" s="3" t="s">
        <v>51</v>
      </c>
      <c r="H613" s="3" t="s">
        <v>70</v>
      </c>
      <c r="I613" s="25" t="str">
        <f>VLOOKUP(H613,Tabla5[#All],4,FALSE)</f>
        <v>-31,3759272890294, -64,2284587792478</v>
      </c>
      <c r="J613" s="1">
        <v>31280</v>
      </c>
      <c r="K613" s="7">
        <f>INT((crimenes_cordoba_ampliado[[#This Row],[Fecha]]-crimenes_cordoba_ampliado[[#This Row],[Fecha Nac. Delincuente]])/365)</f>
        <v>33</v>
      </c>
      <c r="L613" s="7" t="str">
        <f>_xlfn.XLOOKUP(crimenes_cordoba_ampliado[[#This Row],[EDAD DELINCUENTE]],'Rango etareo'!$A$10:$A$25,'Rango etareo'!$B$10:$B$25,,-1)</f>
        <v>26 - 35</v>
      </c>
      <c r="M613" s="3" t="s">
        <v>22</v>
      </c>
      <c r="N613" s="3" t="str">
        <f>IF(crimenes_cordoba_ampliado[[#This Row],[Género Delincuente]]="Femenino","🚺","🚹")</f>
        <v>🚹</v>
      </c>
      <c r="O613">
        <v>5</v>
      </c>
      <c r="P613" s="1">
        <v>15213</v>
      </c>
      <c r="Q613" s="7">
        <f>INT((crimenes_cordoba_ampliado[[#This Row],[Fecha]]-crimenes_cordoba_ampliado[[#This Row],[Fecha Nac. Víctima]])/365)</f>
        <v>77</v>
      </c>
      <c r="R613" s="7" t="str">
        <f>_xlfn.XLOOKUP(crimenes_cordoba_ampliado[[#This Row],[EDAD VICTIMA]],'Rango etareo'!$A$2:$A$25,'Rango etareo'!$B$2:$B$25,,-1)</f>
        <v>&gt;65</v>
      </c>
      <c r="S613" s="3" t="s">
        <v>22</v>
      </c>
      <c r="T613" s="3" t="str">
        <f>IF(crimenes_cordoba_ampliado[[#This Row],[Género Víctima]]="Masculino","🚹","🚺")</f>
        <v>🚹</v>
      </c>
      <c r="U613">
        <v>1</v>
      </c>
      <c r="V613" s="3" t="s">
        <v>23</v>
      </c>
      <c r="W613" s="3" t="s">
        <v>63</v>
      </c>
      <c r="X613" s="3" t="s">
        <v>24</v>
      </c>
      <c r="Y613" s="3" t="s">
        <v>77</v>
      </c>
      <c r="Z613" s="3" t="s">
        <v>25</v>
      </c>
      <c r="AA613" s="3" t="s">
        <v>25</v>
      </c>
      <c r="AB613" s="3" t="str">
        <f>IF(crimenes_cordoba_ampliado[[#This Row],[Hubo Arresto]]="Sí", "Resuelto", "Pendiente")</f>
        <v>Resuelto</v>
      </c>
      <c r="AC613" s="3" t="s">
        <v>278</v>
      </c>
      <c r="AD613" s="3"/>
    </row>
    <row r="614" spans="1:30" x14ac:dyDescent="0.25">
      <c r="A614">
        <v>931</v>
      </c>
      <c r="B614" s="1">
        <v>44338</v>
      </c>
      <c r="C614" s="33">
        <f t="shared" si="18"/>
        <v>44338</v>
      </c>
      <c r="D614" s="34">
        <f t="shared" si="19"/>
        <v>44338</v>
      </c>
      <c r="E614" s="35" t="s">
        <v>1451</v>
      </c>
      <c r="F614" s="2">
        <v>0.97361111111111109</v>
      </c>
      <c r="G614" s="3" t="s">
        <v>31</v>
      </c>
      <c r="H614" s="3" t="s">
        <v>58</v>
      </c>
      <c r="I614" s="25" t="str">
        <f>VLOOKUP(H614,Tabla5[#All],4,FALSE)</f>
        <v>-31,423018915313, -64,1493562190664</v>
      </c>
      <c r="J614" s="1">
        <v>35954</v>
      </c>
      <c r="K614" s="7">
        <f>INT((crimenes_cordoba_ampliado[[#This Row],[Fecha]]-crimenes_cordoba_ampliado[[#This Row],[Fecha Nac. Delincuente]])/365)</f>
        <v>22</v>
      </c>
      <c r="L614" s="7" t="str">
        <f>_xlfn.XLOOKUP(crimenes_cordoba_ampliado[[#This Row],[EDAD DELINCUENTE]],'Rango etareo'!$A$10:$A$25,'Rango etareo'!$B$10:$B$25,,-1)</f>
        <v>18 - 25</v>
      </c>
      <c r="M614" s="3" t="s">
        <v>21</v>
      </c>
      <c r="N614" s="3" t="str">
        <f>IF(crimenes_cordoba_ampliado[[#This Row],[Género Delincuente]]="Femenino","🚺","🚹")</f>
        <v>🚺</v>
      </c>
      <c r="O614">
        <v>5</v>
      </c>
      <c r="P614" s="1">
        <v>25838</v>
      </c>
      <c r="Q614" s="7">
        <f>INT((crimenes_cordoba_ampliado[[#This Row],[Fecha]]-crimenes_cordoba_ampliado[[#This Row],[Fecha Nac. Víctima]])/365)</f>
        <v>50</v>
      </c>
      <c r="R614" s="7" t="str">
        <f>_xlfn.XLOOKUP(crimenes_cordoba_ampliado[[#This Row],[EDAD VICTIMA]],'Rango etareo'!$A$2:$A$25,'Rango etareo'!$B$2:$B$25,,-1)</f>
        <v>46 - 55</v>
      </c>
      <c r="S614" s="3" t="s">
        <v>21</v>
      </c>
      <c r="T614" s="3" t="str">
        <f>IF(crimenes_cordoba_ampliado[[#This Row],[Género Víctima]]="Masculino","🚹","🚺")</f>
        <v>🚺</v>
      </c>
      <c r="U614">
        <v>1</v>
      </c>
      <c r="V614" s="3" t="s">
        <v>25</v>
      </c>
      <c r="W614" s="3" t="s">
        <v>83</v>
      </c>
      <c r="X614" s="3" t="s">
        <v>50</v>
      </c>
      <c r="Y614" s="3" t="s">
        <v>24</v>
      </c>
      <c r="Z614" s="3" t="s">
        <v>25</v>
      </c>
      <c r="AA614" s="3" t="s">
        <v>25</v>
      </c>
      <c r="AB614" s="3" t="str">
        <f>IF(crimenes_cordoba_ampliado[[#This Row],[Hubo Arresto]]="Sí", "Resuelto", "Pendiente")</f>
        <v>Pendiente</v>
      </c>
      <c r="AC614" s="3" t="s">
        <v>24</v>
      </c>
      <c r="AD614" s="3"/>
    </row>
    <row r="615" spans="1:30" x14ac:dyDescent="0.25">
      <c r="A615">
        <v>573</v>
      </c>
      <c r="B615" s="1">
        <v>44339</v>
      </c>
      <c r="C615" s="33">
        <f t="shared" si="18"/>
        <v>44339</v>
      </c>
      <c r="D615" s="34">
        <f t="shared" si="19"/>
        <v>44339</v>
      </c>
      <c r="E615" s="35" t="s">
        <v>1449</v>
      </c>
      <c r="F615" s="2">
        <v>0.95486111111111116</v>
      </c>
      <c r="G615" s="3" t="s">
        <v>27</v>
      </c>
      <c r="H615" s="3" t="s">
        <v>40</v>
      </c>
      <c r="I615" s="25" t="str">
        <f>VLOOKUP(H615,Tabla5[#All],4,FALSE)</f>
        <v>-31,334500143441, -64,2460773260564</v>
      </c>
      <c r="J615" s="1">
        <v>28931</v>
      </c>
      <c r="K615" s="7">
        <f>INT((crimenes_cordoba_ampliado[[#This Row],[Fecha]]-crimenes_cordoba_ampliado[[#This Row],[Fecha Nac. Delincuente]])/365)</f>
        <v>42</v>
      </c>
      <c r="L615" s="7" t="str">
        <f>_xlfn.XLOOKUP(crimenes_cordoba_ampliado[[#This Row],[EDAD DELINCUENTE]],'Rango etareo'!$A$10:$A$25,'Rango etareo'!$B$10:$B$25,,-1)</f>
        <v>36 - 45</v>
      </c>
      <c r="M615" s="3" t="s">
        <v>22</v>
      </c>
      <c r="N615" s="3" t="str">
        <f>IF(crimenes_cordoba_ampliado[[#This Row],[Género Delincuente]]="Femenino","🚺","🚹")</f>
        <v>🚹</v>
      </c>
      <c r="O615">
        <v>1</v>
      </c>
      <c r="P615" s="1">
        <v>40384</v>
      </c>
      <c r="Q615" s="7">
        <f>INT((crimenes_cordoba_ampliado[[#This Row],[Fecha]]-crimenes_cordoba_ampliado[[#This Row],[Fecha Nac. Víctima]])/365)</f>
        <v>10</v>
      </c>
      <c r="R615" s="7" t="str">
        <f>_xlfn.XLOOKUP(crimenes_cordoba_ampliado[[#This Row],[EDAD VICTIMA]],'Rango etareo'!$A$2:$A$25,'Rango etareo'!$B$2:$B$25,,-1)</f>
        <v>&lt;=17</v>
      </c>
      <c r="S615" s="3" t="s">
        <v>21</v>
      </c>
      <c r="T615" s="3" t="str">
        <f>IF(crimenes_cordoba_ampliado[[#This Row],[Género Víctima]]="Masculino","🚹","🚺")</f>
        <v>🚺</v>
      </c>
      <c r="U615">
        <v>2</v>
      </c>
      <c r="V615" s="3" t="s">
        <v>25</v>
      </c>
      <c r="W615" s="3" t="s">
        <v>63</v>
      </c>
      <c r="X615" s="3" t="s">
        <v>24</v>
      </c>
      <c r="Y615" s="3" t="s">
        <v>99</v>
      </c>
      <c r="Z615" s="3" t="s">
        <v>25</v>
      </c>
      <c r="AA615" s="3" t="s">
        <v>25</v>
      </c>
      <c r="AB615" s="3" t="str">
        <f>IF(crimenes_cordoba_ampliado[[#This Row],[Hubo Arresto]]="Sí", "Resuelto", "Pendiente")</f>
        <v>Pendiente</v>
      </c>
      <c r="AC615" s="3" t="s">
        <v>24</v>
      </c>
      <c r="AD615" s="3"/>
    </row>
    <row r="616" spans="1:30" x14ac:dyDescent="0.25">
      <c r="A616">
        <v>612</v>
      </c>
      <c r="B616" s="1">
        <v>43633</v>
      </c>
      <c r="C616" s="33">
        <f t="shared" si="18"/>
        <v>43633</v>
      </c>
      <c r="D616" s="34">
        <f t="shared" si="19"/>
        <v>43633</v>
      </c>
      <c r="E616" s="35" t="s">
        <v>1452</v>
      </c>
      <c r="F616" s="2">
        <v>0.81736111111111109</v>
      </c>
      <c r="G616" s="3" t="s">
        <v>81</v>
      </c>
      <c r="H616" s="3" t="s">
        <v>62</v>
      </c>
      <c r="I616" s="25" t="str">
        <f>VLOOKUP(H616,Tabla5[#All],4,FALSE)</f>
        <v>-31,3909520937826, -64,1836424491715</v>
      </c>
      <c r="J616" s="1">
        <v>29531</v>
      </c>
      <c r="K616" s="7">
        <f>INT((crimenes_cordoba_ampliado[[#This Row],[Fecha]]-crimenes_cordoba_ampliado[[#This Row],[Fecha Nac. Delincuente]])/365)</f>
        <v>38</v>
      </c>
      <c r="L616" s="7" t="str">
        <f>_xlfn.XLOOKUP(crimenes_cordoba_ampliado[[#This Row],[EDAD DELINCUENTE]],'Rango etareo'!$A$10:$A$25,'Rango etareo'!$B$10:$B$25,,-1)</f>
        <v>36 - 45</v>
      </c>
      <c r="M616" s="3" t="s">
        <v>21</v>
      </c>
      <c r="N616" s="3" t="str">
        <f>IF(crimenes_cordoba_ampliado[[#This Row],[Género Delincuente]]="Femenino","🚺","🚹")</f>
        <v>🚺</v>
      </c>
      <c r="O616">
        <v>2</v>
      </c>
      <c r="P616" s="1">
        <v>32022</v>
      </c>
      <c r="Q616" s="7">
        <f>INT((crimenes_cordoba_ampliado[[#This Row],[Fecha]]-crimenes_cordoba_ampliado[[#This Row],[Fecha Nac. Víctima]])/365)</f>
        <v>31</v>
      </c>
      <c r="R616" s="7" t="str">
        <f>_xlfn.XLOOKUP(crimenes_cordoba_ampliado[[#This Row],[EDAD VICTIMA]],'Rango etareo'!$A$2:$A$25,'Rango etareo'!$B$2:$B$25,,-1)</f>
        <v>26 - 35</v>
      </c>
      <c r="S616" s="3" t="s">
        <v>22</v>
      </c>
      <c r="T616" s="3" t="str">
        <f>IF(crimenes_cordoba_ampliado[[#This Row],[Género Víctima]]="Masculino","🚹","🚺")</f>
        <v>🚹</v>
      </c>
      <c r="U616">
        <v>3</v>
      </c>
      <c r="V616" s="3" t="s">
        <v>23</v>
      </c>
      <c r="W616" s="3" t="s">
        <v>63</v>
      </c>
      <c r="X616" s="3" t="s">
        <v>24</v>
      </c>
      <c r="Y616" s="3" t="s">
        <v>77</v>
      </c>
      <c r="Z616" s="3" t="s">
        <v>25</v>
      </c>
      <c r="AA616" s="3" t="s">
        <v>23</v>
      </c>
      <c r="AB616" s="3" t="str">
        <f>IF(crimenes_cordoba_ampliado[[#This Row],[Hubo Arresto]]="Sí", "Resuelto", "Pendiente")</f>
        <v>Resuelto</v>
      </c>
      <c r="AC616" s="3" t="s">
        <v>279</v>
      </c>
      <c r="AD616" s="3"/>
    </row>
    <row r="617" spans="1:30" x14ac:dyDescent="0.25">
      <c r="A617">
        <v>410</v>
      </c>
      <c r="B617" s="1">
        <v>44344</v>
      </c>
      <c r="C617" s="33">
        <f t="shared" si="18"/>
        <v>44344</v>
      </c>
      <c r="D617" s="34">
        <f t="shared" si="19"/>
        <v>44344</v>
      </c>
      <c r="E617" s="35" t="s">
        <v>1455</v>
      </c>
      <c r="F617" s="2">
        <v>0.91527777777777775</v>
      </c>
      <c r="G617" s="3" t="s">
        <v>81</v>
      </c>
      <c r="H617" s="3" t="s">
        <v>65</v>
      </c>
      <c r="I617" s="25" t="str">
        <f>VLOOKUP(H617,Tabla5[#All],4,FALSE)</f>
        <v>-31,4285567311661, -64,1853198281007</v>
      </c>
      <c r="J617" s="1">
        <v>25226</v>
      </c>
      <c r="K617" s="7">
        <f>INT((crimenes_cordoba_ampliado[[#This Row],[Fecha]]-crimenes_cordoba_ampliado[[#This Row],[Fecha Nac. Delincuente]])/365)</f>
        <v>52</v>
      </c>
      <c r="L617" s="7" t="str">
        <f>_xlfn.XLOOKUP(crimenes_cordoba_ampliado[[#This Row],[EDAD DELINCUENTE]],'Rango etareo'!$A$10:$A$25,'Rango etareo'!$B$10:$B$25,,-1)</f>
        <v>46 - 55</v>
      </c>
      <c r="M617" s="3" t="s">
        <v>21</v>
      </c>
      <c r="N617" s="3" t="str">
        <f>IF(crimenes_cordoba_ampliado[[#This Row],[Género Delincuente]]="Femenino","🚺","🚹")</f>
        <v>🚺</v>
      </c>
      <c r="O617">
        <v>4</v>
      </c>
      <c r="P617" s="1">
        <v>34254</v>
      </c>
      <c r="Q617" s="7">
        <f>INT((crimenes_cordoba_ampliado[[#This Row],[Fecha]]-crimenes_cordoba_ampliado[[#This Row],[Fecha Nac. Víctima]])/365)</f>
        <v>27</v>
      </c>
      <c r="R617" s="7" t="str">
        <f>_xlfn.XLOOKUP(crimenes_cordoba_ampliado[[#This Row],[EDAD VICTIMA]],'Rango etareo'!$A$2:$A$25,'Rango etareo'!$B$2:$B$25,,-1)</f>
        <v>26 - 35</v>
      </c>
      <c r="S617" s="3" t="s">
        <v>22</v>
      </c>
      <c r="T617" s="3" t="str">
        <f>IF(crimenes_cordoba_ampliado[[#This Row],[Género Víctima]]="Masculino","🚹","🚺")</f>
        <v>🚹</v>
      </c>
      <c r="U617">
        <v>3</v>
      </c>
      <c r="V617" s="3" t="s">
        <v>25</v>
      </c>
      <c r="W617" s="3" t="s">
        <v>24</v>
      </c>
      <c r="X617" s="3" t="s">
        <v>24</v>
      </c>
      <c r="Y617" s="3" t="s">
        <v>53</v>
      </c>
      <c r="Z617" s="3" t="s">
        <v>25</v>
      </c>
      <c r="AA617" s="3" t="s">
        <v>25</v>
      </c>
      <c r="AB617" s="3" t="str">
        <f>IF(crimenes_cordoba_ampliado[[#This Row],[Hubo Arresto]]="Sí", "Resuelto", "Pendiente")</f>
        <v>Pendiente</v>
      </c>
      <c r="AC617" s="3" t="s">
        <v>24</v>
      </c>
      <c r="AD617" s="3"/>
    </row>
    <row r="618" spans="1:30" x14ac:dyDescent="0.25">
      <c r="A618">
        <v>950</v>
      </c>
      <c r="B618" s="1">
        <v>44348</v>
      </c>
      <c r="C618" s="33">
        <f t="shared" si="18"/>
        <v>44348</v>
      </c>
      <c r="D618" s="34">
        <f t="shared" si="19"/>
        <v>44348</v>
      </c>
      <c r="E618" s="35" t="s">
        <v>1453</v>
      </c>
      <c r="F618" s="2">
        <v>2.5000000000000001E-2</v>
      </c>
      <c r="G618" s="3" t="s">
        <v>35</v>
      </c>
      <c r="H618" s="3" t="s">
        <v>60</v>
      </c>
      <c r="I618" s="25" t="str">
        <f>VLOOKUP(H618,Tabla5[#All],4,FALSE)</f>
        <v>-31,4076397196409, -64,2020170430678</v>
      </c>
      <c r="J618" s="1">
        <v>37273</v>
      </c>
      <c r="K618" s="7">
        <f>INT((crimenes_cordoba_ampliado[[#This Row],[Fecha]]-crimenes_cordoba_ampliado[[#This Row],[Fecha Nac. Delincuente]])/365)</f>
        <v>19</v>
      </c>
      <c r="L618" s="7" t="str">
        <f>_xlfn.XLOOKUP(crimenes_cordoba_ampliado[[#This Row],[EDAD DELINCUENTE]],'Rango etareo'!$A$10:$A$25,'Rango etareo'!$B$10:$B$25,,-1)</f>
        <v>18 - 25</v>
      </c>
      <c r="M618" s="3" t="s">
        <v>21</v>
      </c>
      <c r="N618" s="3" t="str">
        <f>IF(crimenes_cordoba_ampliado[[#This Row],[Género Delincuente]]="Femenino","🚺","🚹")</f>
        <v>🚺</v>
      </c>
      <c r="O618">
        <v>1</v>
      </c>
      <c r="P618" s="1">
        <v>36957</v>
      </c>
      <c r="Q618" s="7">
        <f>INT((crimenes_cordoba_ampliado[[#This Row],[Fecha]]-crimenes_cordoba_ampliado[[#This Row],[Fecha Nac. Víctima]])/365)</f>
        <v>20</v>
      </c>
      <c r="R618" s="7" t="str">
        <f>_xlfn.XLOOKUP(crimenes_cordoba_ampliado[[#This Row],[EDAD VICTIMA]],'Rango etareo'!$A$2:$A$25,'Rango etareo'!$B$2:$B$25,,-1)</f>
        <v>18 - 25</v>
      </c>
      <c r="S618" s="3" t="s">
        <v>21</v>
      </c>
      <c r="T618" s="3" t="str">
        <f>IF(crimenes_cordoba_ampliado[[#This Row],[Género Víctima]]="Masculino","🚹","🚺")</f>
        <v>🚺</v>
      </c>
      <c r="U618">
        <v>3</v>
      </c>
      <c r="V618" s="3" t="s">
        <v>25</v>
      </c>
      <c r="W618" s="3" t="s">
        <v>24</v>
      </c>
      <c r="X618" s="3" t="s">
        <v>24</v>
      </c>
      <c r="Y618" s="3" t="s">
        <v>106</v>
      </c>
      <c r="Z618" s="3" t="s">
        <v>25</v>
      </c>
      <c r="AA618" s="3" t="s">
        <v>23</v>
      </c>
      <c r="AB618" s="3" t="str">
        <f>IF(crimenes_cordoba_ampliado[[#This Row],[Hubo Arresto]]="Sí", "Resuelto", "Pendiente")</f>
        <v>Pendiente</v>
      </c>
      <c r="AC618" s="3" t="s">
        <v>24</v>
      </c>
      <c r="AD618" s="3"/>
    </row>
    <row r="619" spans="1:30" x14ac:dyDescent="0.25">
      <c r="A619">
        <v>723</v>
      </c>
      <c r="B619" s="1">
        <v>44349</v>
      </c>
      <c r="C619" s="33">
        <f t="shared" si="18"/>
        <v>44349</v>
      </c>
      <c r="D619" s="34">
        <f t="shared" si="19"/>
        <v>44349</v>
      </c>
      <c r="E619" s="35" t="s">
        <v>1450</v>
      </c>
      <c r="F619" s="2">
        <v>0.55763888888888891</v>
      </c>
      <c r="G619" s="3" t="s">
        <v>31</v>
      </c>
      <c r="H619" s="3" t="s">
        <v>55</v>
      </c>
      <c r="I619" s="25" t="str">
        <f>VLOOKUP(H619,Tabla5[#All],4,FALSE)</f>
        <v>-31,4015892433235, -64,160442876477</v>
      </c>
      <c r="J619" s="1">
        <v>24659</v>
      </c>
      <c r="K619" s="7">
        <f>INT((crimenes_cordoba_ampliado[[#This Row],[Fecha]]-crimenes_cordoba_ampliado[[#This Row],[Fecha Nac. Delincuente]])/365)</f>
        <v>53</v>
      </c>
      <c r="L619" s="7" t="str">
        <f>_xlfn.XLOOKUP(crimenes_cordoba_ampliado[[#This Row],[EDAD DELINCUENTE]],'Rango etareo'!$A$10:$A$25,'Rango etareo'!$B$10:$B$25,,-1)</f>
        <v>46 - 55</v>
      </c>
      <c r="M619" s="3" t="s">
        <v>22</v>
      </c>
      <c r="N619" s="3" t="str">
        <f>IF(crimenes_cordoba_ampliado[[#This Row],[Género Delincuente]]="Femenino","🚺","🚹")</f>
        <v>🚹</v>
      </c>
      <c r="O619">
        <v>1</v>
      </c>
      <c r="P619" s="1">
        <v>24130</v>
      </c>
      <c r="Q619" s="7">
        <f>INT((crimenes_cordoba_ampliado[[#This Row],[Fecha]]-crimenes_cordoba_ampliado[[#This Row],[Fecha Nac. Víctima]])/365)</f>
        <v>55</v>
      </c>
      <c r="R619" s="7" t="str">
        <f>_xlfn.XLOOKUP(crimenes_cordoba_ampliado[[#This Row],[EDAD VICTIMA]],'Rango etareo'!$A$2:$A$25,'Rango etareo'!$B$2:$B$25,,-1)</f>
        <v>46 - 55</v>
      </c>
      <c r="S619" s="3" t="s">
        <v>22</v>
      </c>
      <c r="T619" s="3" t="str">
        <f>IF(crimenes_cordoba_ampliado[[#This Row],[Género Víctima]]="Masculino","🚹","🚺")</f>
        <v>🚹</v>
      </c>
      <c r="U619">
        <v>2</v>
      </c>
      <c r="V619" s="3" t="s">
        <v>25</v>
      </c>
      <c r="W619" s="3" t="s">
        <v>24</v>
      </c>
      <c r="X619" s="3" t="s">
        <v>24</v>
      </c>
      <c r="Y619" s="3" t="s">
        <v>24</v>
      </c>
      <c r="Z619" s="3" t="s">
        <v>25</v>
      </c>
      <c r="AA619" s="3" t="s">
        <v>25</v>
      </c>
      <c r="AB619" s="3" t="str">
        <f>IF(crimenes_cordoba_ampliado[[#This Row],[Hubo Arresto]]="Sí", "Resuelto", "Pendiente")</f>
        <v>Pendiente</v>
      </c>
      <c r="AC619" s="3" t="s">
        <v>24</v>
      </c>
      <c r="AD619" s="3"/>
    </row>
    <row r="620" spans="1:30" x14ac:dyDescent="0.25">
      <c r="A620">
        <v>613</v>
      </c>
      <c r="B620" s="1">
        <v>44855</v>
      </c>
      <c r="C620" s="33">
        <f t="shared" si="18"/>
        <v>44855</v>
      </c>
      <c r="D620" s="34">
        <f t="shared" si="19"/>
        <v>44855</v>
      </c>
      <c r="E620" s="35" t="s">
        <v>1455</v>
      </c>
      <c r="F620" s="2">
        <v>0.88541666666666663</v>
      </c>
      <c r="G620" s="3" t="s">
        <v>42</v>
      </c>
      <c r="H620" s="3" t="s">
        <v>28</v>
      </c>
      <c r="I620" s="25" t="str">
        <f>VLOOKUP(H620,Tabla5[#All],4,FALSE)</f>
        <v>-31,4129883640337, -64,1681120522587</v>
      </c>
      <c r="J620" s="1">
        <v>34056</v>
      </c>
      <c r="K620" s="7">
        <f>INT((crimenes_cordoba_ampliado[[#This Row],[Fecha]]-crimenes_cordoba_ampliado[[#This Row],[Fecha Nac. Delincuente]])/365)</f>
        <v>29</v>
      </c>
      <c r="L620" s="7" t="str">
        <f>_xlfn.XLOOKUP(crimenes_cordoba_ampliado[[#This Row],[EDAD DELINCUENTE]],'Rango etareo'!$A$10:$A$25,'Rango etareo'!$B$10:$B$25,,-1)</f>
        <v>26 - 35</v>
      </c>
      <c r="M620" s="3" t="s">
        <v>22</v>
      </c>
      <c r="N620" s="3" t="str">
        <f>IF(crimenes_cordoba_ampliado[[#This Row],[Género Delincuente]]="Femenino","🚺","🚹")</f>
        <v>🚹</v>
      </c>
      <c r="O620">
        <v>1</v>
      </c>
      <c r="P620" s="1">
        <v>36960</v>
      </c>
      <c r="Q620" s="7">
        <f>INT((crimenes_cordoba_ampliado[[#This Row],[Fecha]]-crimenes_cordoba_ampliado[[#This Row],[Fecha Nac. Víctima]])/365)</f>
        <v>21</v>
      </c>
      <c r="R620" s="7" t="str">
        <f>_xlfn.XLOOKUP(crimenes_cordoba_ampliado[[#This Row],[EDAD VICTIMA]],'Rango etareo'!$A$2:$A$25,'Rango etareo'!$B$2:$B$25,,-1)</f>
        <v>18 - 25</v>
      </c>
      <c r="S620" s="3" t="s">
        <v>22</v>
      </c>
      <c r="T620" s="3" t="str">
        <f>IF(crimenes_cordoba_ampliado[[#This Row],[Género Víctima]]="Masculino","🚹","🚺")</f>
        <v>🚹</v>
      </c>
      <c r="U620">
        <v>3</v>
      </c>
      <c r="V620" s="3" t="s">
        <v>23</v>
      </c>
      <c r="W620" s="3" t="s">
        <v>36</v>
      </c>
      <c r="X620" s="3" t="s">
        <v>67</v>
      </c>
      <c r="Y620" s="3" t="s">
        <v>24</v>
      </c>
      <c r="Z620" s="3" t="s">
        <v>23</v>
      </c>
      <c r="AA620" s="3" t="s">
        <v>25</v>
      </c>
      <c r="AB620" s="3" t="str">
        <f>IF(crimenes_cordoba_ampliado[[#This Row],[Hubo Arresto]]="Sí", "Resuelto", "Pendiente")</f>
        <v>Resuelto</v>
      </c>
      <c r="AC620" s="3" t="s">
        <v>280</v>
      </c>
      <c r="AD620" s="3"/>
    </row>
    <row r="621" spans="1:30" x14ac:dyDescent="0.25">
      <c r="A621">
        <v>736</v>
      </c>
      <c r="B621" s="1">
        <v>44350</v>
      </c>
      <c r="C621" s="33">
        <f t="shared" si="18"/>
        <v>44350</v>
      </c>
      <c r="D621" s="34">
        <f t="shared" si="19"/>
        <v>44350</v>
      </c>
      <c r="E621" s="35" t="s">
        <v>1454</v>
      </c>
      <c r="F621" s="2">
        <v>0.82291666666666663</v>
      </c>
      <c r="G621" s="3" t="s">
        <v>31</v>
      </c>
      <c r="H621" s="3" t="s">
        <v>62</v>
      </c>
      <c r="I621" s="25" t="str">
        <f>VLOOKUP(H621,Tabla5[#All],4,FALSE)</f>
        <v>-31,3909520937826, -64,1836424491715</v>
      </c>
      <c r="J621" s="1">
        <v>36553</v>
      </c>
      <c r="K621" s="7">
        <f>INT((crimenes_cordoba_ampliado[[#This Row],[Fecha]]-crimenes_cordoba_ampliado[[#This Row],[Fecha Nac. Delincuente]])/365)</f>
        <v>21</v>
      </c>
      <c r="L621" s="7" t="str">
        <f>_xlfn.XLOOKUP(crimenes_cordoba_ampliado[[#This Row],[EDAD DELINCUENTE]],'Rango etareo'!$A$10:$A$25,'Rango etareo'!$B$10:$B$25,,-1)</f>
        <v>18 - 25</v>
      </c>
      <c r="M621" s="3" t="s">
        <v>22</v>
      </c>
      <c r="N621" s="3" t="str">
        <f>IF(crimenes_cordoba_ampliado[[#This Row],[Género Delincuente]]="Femenino","🚺","🚹")</f>
        <v>🚹</v>
      </c>
      <c r="O621">
        <v>5</v>
      </c>
      <c r="P621" s="1">
        <v>36412</v>
      </c>
      <c r="Q621" s="7">
        <f>INT((crimenes_cordoba_ampliado[[#This Row],[Fecha]]-crimenes_cordoba_ampliado[[#This Row],[Fecha Nac. Víctima]])/365)</f>
        <v>21</v>
      </c>
      <c r="R621" s="7" t="str">
        <f>_xlfn.XLOOKUP(crimenes_cordoba_ampliado[[#This Row],[EDAD VICTIMA]],'Rango etareo'!$A$2:$A$25,'Rango etareo'!$B$2:$B$25,,-1)</f>
        <v>18 - 25</v>
      </c>
      <c r="S621" s="3" t="s">
        <v>22</v>
      </c>
      <c r="T621" s="3" t="str">
        <f>IF(crimenes_cordoba_ampliado[[#This Row],[Género Víctima]]="Masculino","🚹","🚺")</f>
        <v>🚹</v>
      </c>
      <c r="U621">
        <v>1</v>
      </c>
      <c r="V621" s="3" t="s">
        <v>25</v>
      </c>
      <c r="W621" s="3" t="s">
        <v>24</v>
      </c>
      <c r="X621" s="3" t="s">
        <v>24</v>
      </c>
      <c r="Y621" s="3" t="s">
        <v>33</v>
      </c>
      <c r="Z621" s="3" t="s">
        <v>25</v>
      </c>
      <c r="AA621" s="3" t="s">
        <v>25</v>
      </c>
      <c r="AB621" s="3" t="str">
        <f>IF(crimenes_cordoba_ampliado[[#This Row],[Hubo Arresto]]="Sí", "Resuelto", "Pendiente")</f>
        <v>Pendiente</v>
      </c>
      <c r="AC621" s="3" t="s">
        <v>24</v>
      </c>
      <c r="AD621" s="3"/>
    </row>
    <row r="622" spans="1:30" x14ac:dyDescent="0.25">
      <c r="A622">
        <v>617</v>
      </c>
      <c r="B622" s="1">
        <v>44834</v>
      </c>
      <c r="C622" s="33">
        <f t="shared" si="18"/>
        <v>44834</v>
      </c>
      <c r="D622" s="34">
        <f t="shared" si="19"/>
        <v>44834</v>
      </c>
      <c r="E622" s="35" t="s">
        <v>1455</v>
      </c>
      <c r="F622" s="2">
        <v>0.88194444444444442</v>
      </c>
      <c r="G622" s="3" t="s">
        <v>42</v>
      </c>
      <c r="H622" s="3" t="s">
        <v>65</v>
      </c>
      <c r="I622" s="25" t="str">
        <f>VLOOKUP(H622,Tabla5[#All],4,FALSE)</f>
        <v>-31,4285567311661, -64,1853198281007</v>
      </c>
      <c r="J622" s="1">
        <v>32350</v>
      </c>
      <c r="K622" s="7">
        <f>INT((crimenes_cordoba_ampliado[[#This Row],[Fecha]]-crimenes_cordoba_ampliado[[#This Row],[Fecha Nac. Delincuente]])/365)</f>
        <v>34</v>
      </c>
      <c r="L622" s="7" t="str">
        <f>_xlfn.XLOOKUP(crimenes_cordoba_ampliado[[#This Row],[EDAD DELINCUENTE]],'Rango etareo'!$A$10:$A$25,'Rango etareo'!$B$10:$B$25,,-1)</f>
        <v>26 - 35</v>
      </c>
      <c r="M622" s="3" t="s">
        <v>22</v>
      </c>
      <c r="N622" s="3" t="str">
        <f>IF(crimenes_cordoba_ampliado[[#This Row],[Género Delincuente]]="Femenino","🚺","🚹")</f>
        <v>🚹</v>
      </c>
      <c r="O622">
        <v>5</v>
      </c>
      <c r="P622" s="1">
        <v>35982</v>
      </c>
      <c r="Q622" s="7">
        <f>INT((crimenes_cordoba_ampliado[[#This Row],[Fecha]]-crimenes_cordoba_ampliado[[#This Row],[Fecha Nac. Víctima]])/365)</f>
        <v>24</v>
      </c>
      <c r="R622" s="7" t="str">
        <f>_xlfn.XLOOKUP(crimenes_cordoba_ampliado[[#This Row],[EDAD VICTIMA]],'Rango etareo'!$A$2:$A$25,'Rango etareo'!$B$2:$B$25,,-1)</f>
        <v>18 - 25</v>
      </c>
      <c r="S622" s="3" t="s">
        <v>22</v>
      </c>
      <c r="T622" s="3" t="str">
        <f>IF(crimenes_cordoba_ampliado[[#This Row],[Género Víctima]]="Masculino","🚹","🚺")</f>
        <v>🚹</v>
      </c>
      <c r="U622">
        <v>3</v>
      </c>
      <c r="V622" s="3" t="s">
        <v>23</v>
      </c>
      <c r="W622" s="3" t="s">
        <v>71</v>
      </c>
      <c r="X622" s="3" t="s">
        <v>67</v>
      </c>
      <c r="Y622" s="3" t="s">
        <v>24</v>
      </c>
      <c r="Z622" s="3" t="s">
        <v>25</v>
      </c>
      <c r="AA622" s="3" t="s">
        <v>25</v>
      </c>
      <c r="AB622" s="3" t="str">
        <f>IF(crimenes_cordoba_ampliado[[#This Row],[Hubo Arresto]]="Sí", "Resuelto", "Pendiente")</f>
        <v>Resuelto</v>
      </c>
      <c r="AC622" s="3" t="s">
        <v>171</v>
      </c>
      <c r="AD622" s="3"/>
    </row>
    <row r="623" spans="1:30" x14ac:dyDescent="0.25">
      <c r="A623">
        <v>581</v>
      </c>
      <c r="B623" s="1">
        <v>44355</v>
      </c>
      <c r="C623" s="33">
        <f t="shared" si="18"/>
        <v>44355</v>
      </c>
      <c r="D623" s="34">
        <f t="shared" si="19"/>
        <v>44355</v>
      </c>
      <c r="E623" s="35" t="s">
        <v>1453</v>
      </c>
      <c r="F623" s="2">
        <v>0.91041666666666665</v>
      </c>
      <c r="G623" s="3" t="s">
        <v>51</v>
      </c>
      <c r="H623" s="3" t="s">
        <v>32</v>
      </c>
      <c r="I623" s="25" t="str">
        <f>VLOOKUP(H623,Tabla5[#All],4,FALSE)</f>
        <v>-31,4148488101991, -64,1793406489438</v>
      </c>
      <c r="J623" s="1">
        <v>33728</v>
      </c>
      <c r="K623" s="7">
        <f>INT((crimenes_cordoba_ampliado[[#This Row],[Fecha]]-crimenes_cordoba_ampliado[[#This Row],[Fecha Nac. Delincuente]])/365)</f>
        <v>29</v>
      </c>
      <c r="L623" s="7" t="str">
        <f>_xlfn.XLOOKUP(crimenes_cordoba_ampliado[[#This Row],[EDAD DELINCUENTE]],'Rango etareo'!$A$10:$A$25,'Rango etareo'!$B$10:$B$25,,-1)</f>
        <v>26 - 35</v>
      </c>
      <c r="M623" s="3" t="s">
        <v>21</v>
      </c>
      <c r="N623" s="3" t="str">
        <f>IF(crimenes_cordoba_ampliado[[#This Row],[Género Delincuente]]="Femenino","🚺","🚹")</f>
        <v>🚺</v>
      </c>
      <c r="O623">
        <v>3</v>
      </c>
      <c r="P623" s="1">
        <v>15204</v>
      </c>
      <c r="Q623" s="7">
        <f>INT((crimenes_cordoba_ampliado[[#This Row],[Fecha]]-crimenes_cordoba_ampliado[[#This Row],[Fecha Nac. Víctima]])/365)</f>
        <v>79</v>
      </c>
      <c r="R623" s="7" t="str">
        <f>_xlfn.XLOOKUP(crimenes_cordoba_ampliado[[#This Row],[EDAD VICTIMA]],'Rango etareo'!$A$2:$A$25,'Rango etareo'!$B$2:$B$25,,-1)</f>
        <v>&gt;65</v>
      </c>
      <c r="S623" s="3" t="s">
        <v>21</v>
      </c>
      <c r="T623" s="3" t="str">
        <f>IF(crimenes_cordoba_ampliado[[#This Row],[Género Víctima]]="Masculino","🚹","🚺")</f>
        <v>🚺</v>
      </c>
      <c r="U623">
        <v>2</v>
      </c>
      <c r="V623" s="3" t="s">
        <v>25</v>
      </c>
      <c r="W623" s="3" t="s">
        <v>24</v>
      </c>
      <c r="X623" s="3" t="s">
        <v>24</v>
      </c>
      <c r="Y623" s="3" t="s">
        <v>133</v>
      </c>
      <c r="Z623" s="3" t="s">
        <v>25</v>
      </c>
      <c r="AA623" s="3" t="s">
        <v>23</v>
      </c>
      <c r="AB623" s="3" t="str">
        <f>IF(crimenes_cordoba_ampliado[[#This Row],[Hubo Arresto]]="Sí", "Resuelto", "Pendiente")</f>
        <v>Pendiente</v>
      </c>
      <c r="AC623" s="3" t="s">
        <v>24</v>
      </c>
      <c r="AD623" s="3"/>
    </row>
    <row r="624" spans="1:30" x14ac:dyDescent="0.25">
      <c r="A624">
        <v>952</v>
      </c>
      <c r="B624" s="1">
        <v>44355</v>
      </c>
      <c r="C624" s="33">
        <f t="shared" si="18"/>
        <v>44355</v>
      </c>
      <c r="D624" s="34">
        <f t="shared" si="19"/>
        <v>44355</v>
      </c>
      <c r="E624" s="35" t="s">
        <v>1453</v>
      </c>
      <c r="F624" s="2">
        <v>0.66111111111111109</v>
      </c>
      <c r="G624" s="3" t="s">
        <v>51</v>
      </c>
      <c r="H624" s="3" t="s">
        <v>28</v>
      </c>
      <c r="I624" s="25" t="str">
        <f>VLOOKUP(H624,Tabla5[#All],4,FALSE)</f>
        <v>-31,4129883640337, -64,1681120522587</v>
      </c>
      <c r="J624" s="1">
        <v>29368</v>
      </c>
      <c r="K624" s="7">
        <f>INT((crimenes_cordoba_ampliado[[#This Row],[Fecha]]-crimenes_cordoba_ampliado[[#This Row],[Fecha Nac. Delincuente]])/365)</f>
        <v>41</v>
      </c>
      <c r="L624" s="7" t="str">
        <f>_xlfn.XLOOKUP(crimenes_cordoba_ampliado[[#This Row],[EDAD DELINCUENTE]],'Rango etareo'!$A$10:$A$25,'Rango etareo'!$B$10:$B$25,,-1)</f>
        <v>36 - 45</v>
      </c>
      <c r="M624" s="3" t="s">
        <v>21</v>
      </c>
      <c r="N624" s="3" t="str">
        <f>IF(crimenes_cordoba_ampliado[[#This Row],[Género Delincuente]]="Femenino","🚺","🚹")</f>
        <v>🚺</v>
      </c>
      <c r="O624">
        <v>5</v>
      </c>
      <c r="P624" s="1">
        <v>30635</v>
      </c>
      <c r="Q624" s="7">
        <f>INT((crimenes_cordoba_ampliado[[#This Row],[Fecha]]-crimenes_cordoba_ampliado[[#This Row],[Fecha Nac. Víctima]])/365)</f>
        <v>37</v>
      </c>
      <c r="R624" s="7" t="str">
        <f>_xlfn.XLOOKUP(crimenes_cordoba_ampliado[[#This Row],[EDAD VICTIMA]],'Rango etareo'!$A$2:$A$25,'Rango etareo'!$B$2:$B$25,,-1)</f>
        <v>36 - 45</v>
      </c>
      <c r="S624" s="3" t="s">
        <v>22</v>
      </c>
      <c r="T624" s="3" t="str">
        <f>IF(crimenes_cordoba_ampliado[[#This Row],[Género Víctima]]="Masculino","🚹","🚺")</f>
        <v>🚹</v>
      </c>
      <c r="U624">
        <v>1</v>
      </c>
      <c r="V624" s="3" t="s">
        <v>25</v>
      </c>
      <c r="W624" s="3" t="s">
        <v>24</v>
      </c>
      <c r="X624" s="3" t="s">
        <v>24</v>
      </c>
      <c r="Y624" s="3" t="s">
        <v>72</v>
      </c>
      <c r="Z624" s="3" t="s">
        <v>25</v>
      </c>
      <c r="AA624" s="3" t="s">
        <v>25</v>
      </c>
      <c r="AB624" s="3" t="str">
        <f>IF(crimenes_cordoba_ampliado[[#This Row],[Hubo Arresto]]="Sí", "Resuelto", "Pendiente")</f>
        <v>Pendiente</v>
      </c>
      <c r="AC624" s="3" t="s">
        <v>24</v>
      </c>
      <c r="AD624" s="3"/>
    </row>
    <row r="625" spans="1:30" x14ac:dyDescent="0.25">
      <c r="A625">
        <v>804</v>
      </c>
      <c r="B625" s="1">
        <v>44360</v>
      </c>
      <c r="C625" s="33">
        <f t="shared" si="18"/>
        <v>44360</v>
      </c>
      <c r="D625" s="34">
        <f t="shared" si="19"/>
        <v>44360</v>
      </c>
      <c r="E625" s="35" t="s">
        <v>1449</v>
      </c>
      <c r="F625" s="2">
        <v>0.13333333333333333</v>
      </c>
      <c r="G625" s="3" t="s">
        <v>48</v>
      </c>
      <c r="H625" s="3" t="s">
        <v>32</v>
      </c>
      <c r="I625" s="25" t="str">
        <f>VLOOKUP(H625,Tabla5[#All],4,FALSE)</f>
        <v>-31,4148488101991, -64,1793406489438</v>
      </c>
      <c r="J625" s="1">
        <v>19977</v>
      </c>
      <c r="K625" s="7">
        <f>INT((crimenes_cordoba_ampliado[[#This Row],[Fecha]]-crimenes_cordoba_ampliado[[#This Row],[Fecha Nac. Delincuente]])/365)</f>
        <v>66</v>
      </c>
      <c r="L625" s="7" t="str">
        <f>_xlfn.XLOOKUP(crimenes_cordoba_ampliado[[#This Row],[EDAD DELINCUENTE]],'Rango etareo'!$A$10:$A$25,'Rango etareo'!$B$10:$B$25,,-1)</f>
        <v>&gt;65</v>
      </c>
      <c r="M625" s="3" t="s">
        <v>22</v>
      </c>
      <c r="N625" s="3" t="str">
        <f>IF(crimenes_cordoba_ampliado[[#This Row],[Género Delincuente]]="Femenino","🚺","🚹")</f>
        <v>🚹</v>
      </c>
      <c r="O625">
        <v>1</v>
      </c>
      <c r="P625" s="1">
        <v>33113</v>
      </c>
      <c r="Q625" s="7">
        <f>INT((crimenes_cordoba_ampliado[[#This Row],[Fecha]]-crimenes_cordoba_ampliado[[#This Row],[Fecha Nac. Víctima]])/365)</f>
        <v>30</v>
      </c>
      <c r="R625" s="7" t="str">
        <f>_xlfn.XLOOKUP(crimenes_cordoba_ampliado[[#This Row],[EDAD VICTIMA]],'Rango etareo'!$A$2:$A$25,'Rango etareo'!$B$2:$B$25,,-1)</f>
        <v>26 - 35</v>
      </c>
      <c r="S625" s="3" t="s">
        <v>22</v>
      </c>
      <c r="T625" s="3" t="str">
        <f>IF(crimenes_cordoba_ampliado[[#This Row],[Género Víctima]]="Masculino","🚹","🚺")</f>
        <v>🚹</v>
      </c>
      <c r="U625">
        <v>1</v>
      </c>
      <c r="V625" s="3" t="s">
        <v>25</v>
      </c>
      <c r="W625" s="3" t="s">
        <v>24</v>
      </c>
      <c r="X625" s="3" t="s">
        <v>24</v>
      </c>
      <c r="Y625" s="3" t="s">
        <v>106</v>
      </c>
      <c r="Z625" s="3" t="s">
        <v>25</v>
      </c>
      <c r="AA625" s="3" t="s">
        <v>25</v>
      </c>
      <c r="AB625" s="3" t="str">
        <f>IF(crimenes_cordoba_ampliado[[#This Row],[Hubo Arresto]]="Sí", "Resuelto", "Pendiente")</f>
        <v>Pendiente</v>
      </c>
      <c r="AC625" s="3" t="s">
        <v>24</v>
      </c>
      <c r="AD625" s="3"/>
    </row>
    <row r="626" spans="1:30" x14ac:dyDescent="0.25">
      <c r="A626">
        <v>223</v>
      </c>
      <c r="B626" s="1">
        <v>44361</v>
      </c>
      <c r="C626" s="33">
        <f t="shared" si="18"/>
        <v>44361</v>
      </c>
      <c r="D626" s="34">
        <f t="shared" si="19"/>
        <v>44361</v>
      </c>
      <c r="E626" s="35" t="s">
        <v>1452</v>
      </c>
      <c r="F626" s="2">
        <v>0.94791666666666663</v>
      </c>
      <c r="G626" s="3" t="s">
        <v>19</v>
      </c>
      <c r="H626" s="3" t="s">
        <v>62</v>
      </c>
      <c r="I626" s="25" t="str">
        <f>VLOOKUP(H626,Tabla5[#All],4,FALSE)</f>
        <v>-31,3909520937826, -64,1836424491715</v>
      </c>
      <c r="J626" s="1">
        <v>28423</v>
      </c>
      <c r="K626" s="7">
        <f>INT((crimenes_cordoba_ampliado[[#This Row],[Fecha]]-crimenes_cordoba_ampliado[[#This Row],[Fecha Nac. Delincuente]])/365)</f>
        <v>43</v>
      </c>
      <c r="L626" s="7" t="str">
        <f>_xlfn.XLOOKUP(crimenes_cordoba_ampliado[[#This Row],[EDAD DELINCUENTE]],'Rango etareo'!$A$10:$A$25,'Rango etareo'!$B$10:$B$25,,-1)</f>
        <v>36 - 45</v>
      </c>
      <c r="M626" s="3" t="s">
        <v>22</v>
      </c>
      <c r="N626" s="3" t="str">
        <f>IF(crimenes_cordoba_ampliado[[#This Row],[Género Delincuente]]="Femenino","🚺","🚹")</f>
        <v>🚹</v>
      </c>
      <c r="O626">
        <v>2</v>
      </c>
      <c r="P626" s="1">
        <v>39177</v>
      </c>
      <c r="Q626" s="7">
        <f>INT((crimenes_cordoba_ampliado[[#This Row],[Fecha]]-crimenes_cordoba_ampliado[[#This Row],[Fecha Nac. Víctima]])/365)</f>
        <v>14</v>
      </c>
      <c r="R626" s="7" t="str">
        <f>_xlfn.XLOOKUP(crimenes_cordoba_ampliado[[#This Row],[EDAD VICTIMA]],'Rango etareo'!$A$2:$A$25,'Rango etareo'!$B$2:$B$25,,-1)</f>
        <v>&lt;=17</v>
      </c>
      <c r="S626" s="3" t="s">
        <v>22</v>
      </c>
      <c r="T626" s="3" t="str">
        <f>IF(crimenes_cordoba_ampliado[[#This Row],[Género Víctima]]="Masculino","🚹","🚺")</f>
        <v>🚹</v>
      </c>
      <c r="U626">
        <v>3</v>
      </c>
      <c r="V626" s="3" t="s">
        <v>25</v>
      </c>
      <c r="W626" s="3" t="s">
        <v>24</v>
      </c>
      <c r="X626" s="3" t="s">
        <v>24</v>
      </c>
      <c r="Y626" s="3" t="s">
        <v>46</v>
      </c>
      <c r="Z626" s="3" t="s">
        <v>25</v>
      </c>
      <c r="AA626" s="3" t="s">
        <v>25</v>
      </c>
      <c r="AB626" s="3" t="str">
        <f>IF(crimenes_cordoba_ampliado[[#This Row],[Hubo Arresto]]="Sí", "Resuelto", "Pendiente")</f>
        <v>Pendiente</v>
      </c>
      <c r="AC626" s="3" t="s">
        <v>24</v>
      </c>
      <c r="AD626" s="3"/>
    </row>
    <row r="627" spans="1:30" x14ac:dyDescent="0.25">
      <c r="A627">
        <v>326</v>
      </c>
      <c r="B627" s="1">
        <v>44365</v>
      </c>
      <c r="C627" s="33">
        <f t="shared" si="18"/>
        <v>44365</v>
      </c>
      <c r="D627" s="34">
        <f t="shared" si="19"/>
        <v>44365</v>
      </c>
      <c r="E627" s="35" t="s">
        <v>1455</v>
      </c>
      <c r="F627" s="2">
        <v>0.89722222222222225</v>
      </c>
      <c r="G627" s="3" t="s">
        <v>48</v>
      </c>
      <c r="H627" s="3" t="s">
        <v>58</v>
      </c>
      <c r="I627" s="25" t="str">
        <f>VLOOKUP(H627,Tabla5[#All],4,FALSE)</f>
        <v>-31,423018915313, -64,1493562190664</v>
      </c>
      <c r="J627" s="1">
        <v>22920</v>
      </c>
      <c r="K627" s="7">
        <f>INT((crimenes_cordoba_ampliado[[#This Row],[Fecha]]-crimenes_cordoba_ampliado[[#This Row],[Fecha Nac. Delincuente]])/365)</f>
        <v>58</v>
      </c>
      <c r="L627" s="7" t="str">
        <f>_xlfn.XLOOKUP(crimenes_cordoba_ampliado[[#This Row],[EDAD DELINCUENTE]],'Rango etareo'!$A$10:$A$25,'Rango etareo'!$B$10:$B$25,,-1)</f>
        <v>56 - 65</v>
      </c>
      <c r="M627" s="3" t="s">
        <v>21</v>
      </c>
      <c r="N627" s="3" t="str">
        <f>IF(crimenes_cordoba_ampliado[[#This Row],[Género Delincuente]]="Femenino","🚺","🚹")</f>
        <v>🚺</v>
      </c>
      <c r="O627">
        <v>1</v>
      </c>
      <c r="P627" s="1">
        <v>41187</v>
      </c>
      <c r="Q627" s="7">
        <f>INT((crimenes_cordoba_ampliado[[#This Row],[Fecha]]-crimenes_cordoba_ampliado[[#This Row],[Fecha Nac. Víctima]])/365)</f>
        <v>8</v>
      </c>
      <c r="R627" s="7" t="str">
        <f>_xlfn.XLOOKUP(crimenes_cordoba_ampliado[[#This Row],[EDAD VICTIMA]],'Rango etareo'!$A$2:$A$25,'Rango etareo'!$B$2:$B$25,,-1)</f>
        <v>&lt;=17</v>
      </c>
      <c r="S627" s="3" t="s">
        <v>22</v>
      </c>
      <c r="T627" s="3" t="str">
        <f>IF(crimenes_cordoba_ampliado[[#This Row],[Género Víctima]]="Masculino","🚹","🚺")</f>
        <v>🚹</v>
      </c>
      <c r="U627">
        <v>2</v>
      </c>
      <c r="V627" s="3" t="s">
        <v>25</v>
      </c>
      <c r="W627" s="3" t="s">
        <v>63</v>
      </c>
      <c r="X627" s="3" t="s">
        <v>29</v>
      </c>
      <c r="Y627" s="3" t="s">
        <v>24</v>
      </c>
      <c r="Z627" s="3" t="s">
        <v>25</v>
      </c>
      <c r="AA627" s="3" t="s">
        <v>23</v>
      </c>
      <c r="AB627" s="3" t="str">
        <f>IF(crimenes_cordoba_ampliado[[#This Row],[Hubo Arresto]]="Sí", "Resuelto", "Pendiente")</f>
        <v>Pendiente</v>
      </c>
      <c r="AC627" s="3" t="s">
        <v>24</v>
      </c>
      <c r="AD627" s="3"/>
    </row>
    <row r="628" spans="1:30" x14ac:dyDescent="0.25">
      <c r="A628">
        <v>623</v>
      </c>
      <c r="B628" s="1">
        <v>42254</v>
      </c>
      <c r="C628" s="33">
        <f t="shared" si="18"/>
        <v>42254</v>
      </c>
      <c r="D628" s="34">
        <f t="shared" si="19"/>
        <v>42254</v>
      </c>
      <c r="E628" s="35" t="s">
        <v>1452</v>
      </c>
      <c r="F628" s="2">
        <v>0.92083333333333328</v>
      </c>
      <c r="G628" s="3" t="s">
        <v>51</v>
      </c>
      <c r="H628" s="3" t="s">
        <v>20</v>
      </c>
      <c r="I628" s="25" t="str">
        <f>VLOOKUP(H628,Tabla5[#All],4,FALSE)</f>
        <v>-31,4800162965848, -64,2094200976892</v>
      </c>
      <c r="J628" s="1">
        <v>27613</v>
      </c>
      <c r="K628" s="7">
        <f>INT((crimenes_cordoba_ampliado[[#This Row],[Fecha]]-crimenes_cordoba_ampliado[[#This Row],[Fecha Nac. Delincuente]])/365)</f>
        <v>40</v>
      </c>
      <c r="L628" s="7" t="str">
        <f>_xlfn.XLOOKUP(crimenes_cordoba_ampliado[[#This Row],[EDAD DELINCUENTE]],'Rango etareo'!$A$10:$A$25,'Rango etareo'!$B$10:$B$25,,-1)</f>
        <v>36 - 45</v>
      </c>
      <c r="M628" s="3" t="s">
        <v>21</v>
      </c>
      <c r="N628" s="3" t="str">
        <f>IF(crimenes_cordoba_ampliado[[#This Row],[Género Delincuente]]="Femenino","🚺","🚹")</f>
        <v>🚺</v>
      </c>
      <c r="O628">
        <v>4</v>
      </c>
      <c r="P628" s="1">
        <v>27066</v>
      </c>
      <c r="Q628" s="7">
        <f>INT((crimenes_cordoba_ampliado[[#This Row],[Fecha]]-crimenes_cordoba_ampliado[[#This Row],[Fecha Nac. Víctima]])/365)</f>
        <v>41</v>
      </c>
      <c r="R628" s="7" t="str">
        <f>_xlfn.XLOOKUP(crimenes_cordoba_ampliado[[#This Row],[EDAD VICTIMA]],'Rango etareo'!$A$2:$A$25,'Rango etareo'!$B$2:$B$25,,-1)</f>
        <v>36 - 45</v>
      </c>
      <c r="S628" s="3" t="s">
        <v>21</v>
      </c>
      <c r="T628" s="3" t="str">
        <f>IF(crimenes_cordoba_ampliado[[#This Row],[Género Víctima]]="Masculino","🚹","🚺")</f>
        <v>🚺</v>
      </c>
      <c r="U628">
        <v>3</v>
      </c>
      <c r="V628" s="3" t="s">
        <v>23</v>
      </c>
      <c r="W628" s="3" t="s">
        <v>24</v>
      </c>
      <c r="X628" s="3" t="s">
        <v>24</v>
      </c>
      <c r="Y628" s="3" t="s">
        <v>53</v>
      </c>
      <c r="Z628" s="3" t="s">
        <v>25</v>
      </c>
      <c r="AA628" s="3" t="s">
        <v>25</v>
      </c>
      <c r="AB628" s="3" t="str">
        <f>IF(crimenes_cordoba_ampliado[[#This Row],[Hubo Arresto]]="Sí", "Resuelto", "Pendiente")</f>
        <v>Resuelto</v>
      </c>
      <c r="AC628" s="3" t="s">
        <v>134</v>
      </c>
      <c r="AD628" s="3"/>
    </row>
    <row r="629" spans="1:30" x14ac:dyDescent="0.25">
      <c r="A629">
        <v>666</v>
      </c>
      <c r="B629" s="1">
        <v>44371</v>
      </c>
      <c r="C629" s="33">
        <f t="shared" si="18"/>
        <v>44371</v>
      </c>
      <c r="D629" s="34">
        <f t="shared" si="19"/>
        <v>44371</v>
      </c>
      <c r="E629" s="35" t="s">
        <v>1454</v>
      </c>
      <c r="F629" s="2">
        <v>0.96944444444444444</v>
      </c>
      <c r="G629" s="3" t="s">
        <v>35</v>
      </c>
      <c r="H629" s="3" t="s">
        <v>52</v>
      </c>
      <c r="I629" s="25" t="str">
        <f>VLOOKUP(H629,Tabla5[#All],4,FALSE)</f>
        <v>-31,3477902896523, -64,2644406169297</v>
      </c>
      <c r="J629" s="1">
        <v>18814</v>
      </c>
      <c r="K629" s="7">
        <f>INT((crimenes_cordoba_ampliado[[#This Row],[Fecha]]-crimenes_cordoba_ampliado[[#This Row],[Fecha Nac. Delincuente]])/365)</f>
        <v>70</v>
      </c>
      <c r="L629" s="7" t="str">
        <f>_xlfn.XLOOKUP(crimenes_cordoba_ampliado[[#This Row],[EDAD DELINCUENTE]],'Rango etareo'!$A$10:$A$25,'Rango etareo'!$B$10:$B$25,,-1)</f>
        <v>&gt;65</v>
      </c>
      <c r="M629" s="3" t="s">
        <v>21</v>
      </c>
      <c r="N629" s="3" t="str">
        <f>IF(crimenes_cordoba_ampliado[[#This Row],[Género Delincuente]]="Femenino","🚺","🚹")</f>
        <v>🚺</v>
      </c>
      <c r="O629">
        <v>3</v>
      </c>
      <c r="P629" s="1">
        <v>15734</v>
      </c>
      <c r="Q629" s="7">
        <f>INT((crimenes_cordoba_ampliado[[#This Row],[Fecha]]-crimenes_cordoba_ampliado[[#This Row],[Fecha Nac. Víctima]])/365)</f>
        <v>78</v>
      </c>
      <c r="R629" s="7" t="str">
        <f>_xlfn.XLOOKUP(crimenes_cordoba_ampliado[[#This Row],[EDAD VICTIMA]],'Rango etareo'!$A$2:$A$25,'Rango etareo'!$B$2:$B$25,,-1)</f>
        <v>&gt;65</v>
      </c>
      <c r="S629" s="3" t="s">
        <v>22</v>
      </c>
      <c r="T629" s="3" t="str">
        <f>IF(crimenes_cordoba_ampliado[[#This Row],[Género Víctima]]="Masculino","🚹","🚺")</f>
        <v>🚹</v>
      </c>
      <c r="U629">
        <v>3</v>
      </c>
      <c r="V629" s="3" t="s">
        <v>25</v>
      </c>
      <c r="W629" s="3" t="s">
        <v>83</v>
      </c>
      <c r="X629" s="3" t="s">
        <v>41</v>
      </c>
      <c r="Y629" s="3" t="s">
        <v>24</v>
      </c>
      <c r="Z629" s="3" t="s">
        <v>25</v>
      </c>
      <c r="AA629" s="3" t="s">
        <v>23</v>
      </c>
      <c r="AB629" s="3" t="str">
        <f>IF(crimenes_cordoba_ampliado[[#This Row],[Hubo Arresto]]="Sí", "Resuelto", "Pendiente")</f>
        <v>Pendiente</v>
      </c>
      <c r="AC629" s="3" t="s">
        <v>24</v>
      </c>
      <c r="AD629" s="3"/>
    </row>
    <row r="630" spans="1:30" x14ac:dyDescent="0.25">
      <c r="A630">
        <v>572</v>
      </c>
      <c r="B630" s="1">
        <v>44373</v>
      </c>
      <c r="C630" s="33">
        <f t="shared" si="18"/>
        <v>44373</v>
      </c>
      <c r="D630" s="34">
        <f t="shared" si="19"/>
        <v>44373</v>
      </c>
      <c r="E630" s="35" t="s">
        <v>1451</v>
      </c>
      <c r="F630" s="2">
        <v>0.76666666666666672</v>
      </c>
      <c r="G630" s="3" t="s">
        <v>42</v>
      </c>
      <c r="H630" s="3" t="s">
        <v>65</v>
      </c>
      <c r="I630" s="25" t="str">
        <f>VLOOKUP(H630,Tabla5[#All],4,FALSE)</f>
        <v>-31,4285567311661, -64,1853198281007</v>
      </c>
      <c r="J630" s="1">
        <v>29664</v>
      </c>
      <c r="K630" s="7">
        <f>INT((crimenes_cordoba_ampliado[[#This Row],[Fecha]]-crimenes_cordoba_ampliado[[#This Row],[Fecha Nac. Delincuente]])/365)</f>
        <v>40</v>
      </c>
      <c r="L630" s="7" t="str">
        <f>_xlfn.XLOOKUP(crimenes_cordoba_ampliado[[#This Row],[EDAD DELINCUENTE]],'Rango etareo'!$A$10:$A$25,'Rango etareo'!$B$10:$B$25,,-1)</f>
        <v>36 - 45</v>
      </c>
      <c r="M630" s="3" t="s">
        <v>22</v>
      </c>
      <c r="N630" s="3" t="str">
        <f>IF(crimenes_cordoba_ampliado[[#This Row],[Género Delincuente]]="Femenino","🚺","🚹")</f>
        <v>🚹</v>
      </c>
      <c r="O630">
        <v>2</v>
      </c>
      <c r="P630" s="1">
        <v>21742</v>
      </c>
      <c r="Q630" s="7">
        <f>INT((crimenes_cordoba_ampliado[[#This Row],[Fecha]]-crimenes_cordoba_ampliado[[#This Row],[Fecha Nac. Víctima]])/365)</f>
        <v>62</v>
      </c>
      <c r="R630" s="7" t="str">
        <f>_xlfn.XLOOKUP(crimenes_cordoba_ampliado[[#This Row],[EDAD VICTIMA]],'Rango etareo'!$A$2:$A$25,'Rango etareo'!$B$2:$B$25,,-1)</f>
        <v>56 - 65</v>
      </c>
      <c r="S630" s="3" t="s">
        <v>22</v>
      </c>
      <c r="T630" s="3" t="str">
        <f>IF(crimenes_cordoba_ampliado[[#This Row],[Género Víctima]]="Masculino","🚹","🚺")</f>
        <v>🚹</v>
      </c>
      <c r="U630">
        <v>1</v>
      </c>
      <c r="V630" s="3" t="s">
        <v>25</v>
      </c>
      <c r="W630" s="3" t="s">
        <v>63</v>
      </c>
      <c r="X630" s="3" t="s">
        <v>67</v>
      </c>
      <c r="Y630" s="3" t="s">
        <v>24</v>
      </c>
      <c r="Z630" s="3" t="s">
        <v>25</v>
      </c>
      <c r="AA630" s="3" t="s">
        <v>23</v>
      </c>
      <c r="AB630" s="3" t="str">
        <f>IF(crimenes_cordoba_ampliado[[#This Row],[Hubo Arresto]]="Sí", "Resuelto", "Pendiente")</f>
        <v>Pendiente</v>
      </c>
      <c r="AC630" s="3" t="s">
        <v>24</v>
      </c>
      <c r="AD630" s="3"/>
    </row>
    <row r="631" spans="1:30" x14ac:dyDescent="0.25">
      <c r="A631">
        <v>521</v>
      </c>
      <c r="B631" s="1">
        <v>44378</v>
      </c>
      <c r="C631" s="33">
        <f t="shared" si="18"/>
        <v>44378</v>
      </c>
      <c r="D631" s="34">
        <f t="shared" si="19"/>
        <v>44378</v>
      </c>
      <c r="E631" s="35" t="s">
        <v>1454</v>
      </c>
      <c r="F631" s="2">
        <v>0.14444444444444443</v>
      </c>
      <c r="G631" s="3" t="s">
        <v>19</v>
      </c>
      <c r="H631" s="3" t="s">
        <v>58</v>
      </c>
      <c r="I631" s="25" t="str">
        <f>VLOOKUP(H631,Tabla5[#All],4,FALSE)</f>
        <v>-31,423018915313, -64,1493562190664</v>
      </c>
      <c r="J631" s="1">
        <v>28043</v>
      </c>
      <c r="K631" s="7">
        <f>INT((crimenes_cordoba_ampliado[[#This Row],[Fecha]]-crimenes_cordoba_ampliado[[#This Row],[Fecha Nac. Delincuente]])/365)</f>
        <v>44</v>
      </c>
      <c r="L631" s="7" t="str">
        <f>_xlfn.XLOOKUP(crimenes_cordoba_ampliado[[#This Row],[EDAD DELINCUENTE]],'Rango etareo'!$A$10:$A$25,'Rango etareo'!$B$10:$B$25,,-1)</f>
        <v>36 - 45</v>
      </c>
      <c r="M631" s="3" t="s">
        <v>21</v>
      </c>
      <c r="N631" s="3" t="str">
        <f>IF(crimenes_cordoba_ampliado[[#This Row],[Género Delincuente]]="Femenino","🚺","🚹")</f>
        <v>🚺</v>
      </c>
      <c r="O631">
        <v>5</v>
      </c>
      <c r="P631" s="1">
        <v>37272</v>
      </c>
      <c r="Q631" s="7">
        <f>INT((crimenes_cordoba_ampliado[[#This Row],[Fecha]]-crimenes_cordoba_ampliado[[#This Row],[Fecha Nac. Víctima]])/365)</f>
        <v>19</v>
      </c>
      <c r="R631" s="7" t="str">
        <f>_xlfn.XLOOKUP(crimenes_cordoba_ampliado[[#This Row],[EDAD VICTIMA]],'Rango etareo'!$A$2:$A$25,'Rango etareo'!$B$2:$B$25,,-1)</f>
        <v>18 - 25</v>
      </c>
      <c r="S631" s="3" t="s">
        <v>21</v>
      </c>
      <c r="T631" s="3" t="str">
        <f>IF(crimenes_cordoba_ampliado[[#This Row],[Género Víctima]]="Masculino","🚹","🚺")</f>
        <v>🚺</v>
      </c>
      <c r="U631">
        <v>2</v>
      </c>
      <c r="V631" s="3" t="s">
        <v>25</v>
      </c>
      <c r="W631" s="3" t="s">
        <v>24</v>
      </c>
      <c r="X631" s="3" t="s">
        <v>24</v>
      </c>
      <c r="Y631" s="3" t="s">
        <v>106</v>
      </c>
      <c r="Z631" s="3" t="s">
        <v>23</v>
      </c>
      <c r="AA631" s="3" t="s">
        <v>25</v>
      </c>
      <c r="AB631" s="3" t="str">
        <f>IF(crimenes_cordoba_ampliado[[#This Row],[Hubo Arresto]]="Sí", "Resuelto", "Pendiente")</f>
        <v>Pendiente</v>
      </c>
      <c r="AC631" s="3" t="s">
        <v>24</v>
      </c>
      <c r="AD631" s="3"/>
    </row>
    <row r="632" spans="1:30" x14ac:dyDescent="0.25">
      <c r="A632">
        <v>504</v>
      </c>
      <c r="B632" s="1">
        <v>44387</v>
      </c>
      <c r="C632" s="33">
        <f t="shared" si="18"/>
        <v>44387</v>
      </c>
      <c r="D632" s="34">
        <f t="shared" si="19"/>
        <v>44387</v>
      </c>
      <c r="E632" s="35" t="s">
        <v>1451</v>
      </c>
      <c r="F632" s="2">
        <v>0.7416666666666667</v>
      </c>
      <c r="G632" s="3" t="s">
        <v>51</v>
      </c>
      <c r="H632" s="3" t="s">
        <v>32</v>
      </c>
      <c r="I632" s="25" t="str">
        <f>VLOOKUP(H632,Tabla5[#All],4,FALSE)</f>
        <v>-31,4148488101991, -64,1793406489438</v>
      </c>
      <c r="J632" s="1">
        <v>26648</v>
      </c>
      <c r="K632" s="7">
        <f>INT((crimenes_cordoba_ampliado[[#This Row],[Fecha]]-crimenes_cordoba_ampliado[[#This Row],[Fecha Nac. Delincuente]])/365)</f>
        <v>48</v>
      </c>
      <c r="L632" s="7" t="str">
        <f>_xlfn.XLOOKUP(crimenes_cordoba_ampliado[[#This Row],[EDAD DELINCUENTE]],'Rango etareo'!$A$10:$A$25,'Rango etareo'!$B$10:$B$25,,-1)</f>
        <v>46 - 55</v>
      </c>
      <c r="M632" s="3" t="s">
        <v>21</v>
      </c>
      <c r="N632" s="3" t="str">
        <f>IF(crimenes_cordoba_ampliado[[#This Row],[Género Delincuente]]="Femenino","🚺","🚹")</f>
        <v>🚺</v>
      </c>
      <c r="O632">
        <v>1</v>
      </c>
      <c r="P632" s="1">
        <v>28457</v>
      </c>
      <c r="Q632" s="7">
        <f>INT((crimenes_cordoba_ampliado[[#This Row],[Fecha]]-crimenes_cordoba_ampliado[[#This Row],[Fecha Nac. Víctima]])/365)</f>
        <v>43</v>
      </c>
      <c r="R632" s="7" t="str">
        <f>_xlfn.XLOOKUP(crimenes_cordoba_ampliado[[#This Row],[EDAD VICTIMA]],'Rango etareo'!$A$2:$A$25,'Rango etareo'!$B$2:$B$25,,-1)</f>
        <v>36 - 45</v>
      </c>
      <c r="S632" s="3" t="s">
        <v>21</v>
      </c>
      <c r="T632" s="3" t="str">
        <f>IF(crimenes_cordoba_ampliado[[#This Row],[Género Víctima]]="Masculino","🚹","🚺")</f>
        <v>🚺</v>
      </c>
      <c r="U632">
        <v>1</v>
      </c>
      <c r="V632" s="3" t="s">
        <v>25</v>
      </c>
      <c r="W632" s="3" t="s">
        <v>24</v>
      </c>
      <c r="X632" s="3" t="s">
        <v>24</v>
      </c>
      <c r="Y632" s="3" t="s">
        <v>43</v>
      </c>
      <c r="Z632" s="3" t="s">
        <v>23</v>
      </c>
      <c r="AA632" s="3" t="s">
        <v>23</v>
      </c>
      <c r="AB632" s="3" t="str">
        <f>IF(crimenes_cordoba_ampliado[[#This Row],[Hubo Arresto]]="Sí", "Resuelto", "Pendiente")</f>
        <v>Pendiente</v>
      </c>
      <c r="AC632" s="3" t="s">
        <v>24</v>
      </c>
      <c r="AD632" s="3"/>
    </row>
    <row r="633" spans="1:30" x14ac:dyDescent="0.25">
      <c r="A633">
        <v>173</v>
      </c>
      <c r="B633" s="1">
        <v>44390</v>
      </c>
      <c r="C633" s="33">
        <f t="shared" si="18"/>
        <v>44390</v>
      </c>
      <c r="D633" s="34">
        <f t="shared" si="19"/>
        <v>44390</v>
      </c>
      <c r="E633" s="35" t="s">
        <v>1453</v>
      </c>
      <c r="F633" s="2">
        <v>0.24722222222222223</v>
      </c>
      <c r="G633" s="3" t="s">
        <v>31</v>
      </c>
      <c r="H633" s="3" t="s">
        <v>52</v>
      </c>
      <c r="I633" s="25" t="str">
        <f>VLOOKUP(H633,Tabla5[#All],4,FALSE)</f>
        <v>-31,3477902896523, -64,2644406169297</v>
      </c>
      <c r="J633" s="1">
        <v>39012</v>
      </c>
      <c r="K633" s="7">
        <f>INT((crimenes_cordoba_ampliado[[#This Row],[Fecha]]-crimenes_cordoba_ampliado[[#This Row],[Fecha Nac. Delincuente]])/365)</f>
        <v>14</v>
      </c>
      <c r="L633" s="7" t="str">
        <f>_xlfn.XLOOKUP(crimenes_cordoba_ampliado[[#This Row],[EDAD DELINCUENTE]],'Rango etareo'!$A$10:$A$25,'Rango etareo'!$B$10:$B$25,,-1)</f>
        <v>&lt;=17</v>
      </c>
      <c r="M633" s="3" t="s">
        <v>22</v>
      </c>
      <c r="N633" s="3" t="str">
        <f>IF(crimenes_cordoba_ampliado[[#This Row],[Género Delincuente]]="Femenino","🚺","🚹")</f>
        <v>🚹</v>
      </c>
      <c r="O633">
        <v>1</v>
      </c>
      <c r="P633" s="1">
        <v>15626</v>
      </c>
      <c r="Q633" s="7">
        <f>INT((crimenes_cordoba_ampliado[[#This Row],[Fecha]]-crimenes_cordoba_ampliado[[#This Row],[Fecha Nac. Víctima]])/365)</f>
        <v>78</v>
      </c>
      <c r="R633" s="7" t="str">
        <f>_xlfn.XLOOKUP(crimenes_cordoba_ampliado[[#This Row],[EDAD VICTIMA]],'Rango etareo'!$A$2:$A$25,'Rango etareo'!$B$2:$B$25,,-1)</f>
        <v>&gt;65</v>
      </c>
      <c r="S633" s="3" t="s">
        <v>21</v>
      </c>
      <c r="T633" s="3" t="str">
        <f>IF(crimenes_cordoba_ampliado[[#This Row],[Género Víctima]]="Masculino","🚹","🚺")</f>
        <v>🚺</v>
      </c>
      <c r="U633">
        <v>2</v>
      </c>
      <c r="V633" s="3" t="s">
        <v>25</v>
      </c>
      <c r="W633" s="3" t="s">
        <v>24</v>
      </c>
      <c r="X633" s="3" t="s">
        <v>24</v>
      </c>
      <c r="Y633" s="3" t="s">
        <v>24</v>
      </c>
      <c r="Z633" s="3" t="s">
        <v>25</v>
      </c>
      <c r="AA633" s="3" t="s">
        <v>25</v>
      </c>
      <c r="AB633" s="3" t="str">
        <f>IF(crimenes_cordoba_ampliado[[#This Row],[Hubo Arresto]]="Sí", "Resuelto", "Pendiente")</f>
        <v>Pendiente</v>
      </c>
      <c r="AC633" s="3" t="s">
        <v>24</v>
      </c>
      <c r="AD633" s="3"/>
    </row>
    <row r="634" spans="1:30" x14ac:dyDescent="0.25">
      <c r="A634">
        <v>147</v>
      </c>
      <c r="B634" s="1">
        <v>44403</v>
      </c>
      <c r="C634" s="33">
        <f t="shared" si="18"/>
        <v>44403</v>
      </c>
      <c r="D634" s="34">
        <f t="shared" si="19"/>
        <v>44403</v>
      </c>
      <c r="E634" s="35" t="s">
        <v>1452</v>
      </c>
      <c r="F634" s="2">
        <v>0.21805555555555556</v>
      </c>
      <c r="G634" s="3" t="s">
        <v>38</v>
      </c>
      <c r="H634" s="3" t="s">
        <v>20</v>
      </c>
      <c r="I634" s="25" t="str">
        <f>VLOOKUP(H634,Tabla5[#All],4,FALSE)</f>
        <v>-31,4800162965848, -64,2094200976892</v>
      </c>
      <c r="J634" s="1">
        <v>36761</v>
      </c>
      <c r="K634" s="7">
        <f>INT((crimenes_cordoba_ampliado[[#This Row],[Fecha]]-crimenes_cordoba_ampliado[[#This Row],[Fecha Nac. Delincuente]])/365)</f>
        <v>20</v>
      </c>
      <c r="L634" s="7" t="str">
        <f>_xlfn.XLOOKUP(crimenes_cordoba_ampliado[[#This Row],[EDAD DELINCUENTE]],'Rango etareo'!$A$10:$A$25,'Rango etareo'!$B$10:$B$25,,-1)</f>
        <v>18 - 25</v>
      </c>
      <c r="M634" s="3" t="s">
        <v>21</v>
      </c>
      <c r="N634" s="3" t="str">
        <f>IF(crimenes_cordoba_ampliado[[#This Row],[Género Delincuente]]="Femenino","🚺","🚹")</f>
        <v>🚺</v>
      </c>
      <c r="O634">
        <v>4</v>
      </c>
      <c r="P634" s="1">
        <v>20679</v>
      </c>
      <c r="Q634" s="7">
        <f>INT((crimenes_cordoba_ampliado[[#This Row],[Fecha]]-crimenes_cordoba_ampliado[[#This Row],[Fecha Nac. Víctima]])/365)</f>
        <v>64</v>
      </c>
      <c r="R634" s="7" t="str">
        <f>_xlfn.XLOOKUP(crimenes_cordoba_ampliado[[#This Row],[EDAD VICTIMA]],'Rango etareo'!$A$2:$A$25,'Rango etareo'!$B$2:$B$25,,-1)</f>
        <v>56 - 65</v>
      </c>
      <c r="S634" s="3" t="s">
        <v>21</v>
      </c>
      <c r="T634" s="3" t="str">
        <f>IF(crimenes_cordoba_ampliado[[#This Row],[Género Víctima]]="Masculino","🚹","🚺")</f>
        <v>🚺</v>
      </c>
      <c r="U634">
        <v>2</v>
      </c>
      <c r="V634" s="3" t="s">
        <v>25</v>
      </c>
      <c r="W634" s="3" t="s">
        <v>24</v>
      </c>
      <c r="X634" s="3" t="s">
        <v>24</v>
      </c>
      <c r="Y634" s="3" t="s">
        <v>106</v>
      </c>
      <c r="Z634" s="3" t="s">
        <v>25</v>
      </c>
      <c r="AA634" s="3" t="s">
        <v>23</v>
      </c>
      <c r="AB634" s="3" t="str">
        <f>IF(crimenes_cordoba_ampliado[[#This Row],[Hubo Arresto]]="Sí", "Resuelto", "Pendiente")</f>
        <v>Pendiente</v>
      </c>
      <c r="AC634" s="3" t="s">
        <v>24</v>
      </c>
      <c r="AD634" s="3"/>
    </row>
    <row r="635" spans="1:30" x14ac:dyDescent="0.25">
      <c r="A635">
        <v>319</v>
      </c>
      <c r="B635" s="1">
        <v>44406</v>
      </c>
      <c r="C635" s="33">
        <f t="shared" si="18"/>
        <v>44406</v>
      </c>
      <c r="D635" s="34">
        <f t="shared" si="19"/>
        <v>44406</v>
      </c>
      <c r="E635" s="35" t="s">
        <v>1454</v>
      </c>
      <c r="F635" s="2">
        <v>0.78680555555555554</v>
      </c>
      <c r="G635" s="3" t="s">
        <v>42</v>
      </c>
      <c r="H635" s="3" t="s">
        <v>49</v>
      </c>
      <c r="I635" s="25" t="str">
        <f>VLOOKUP(H635,Tabla5[#All],4,FALSE)</f>
        <v>-31,4506257494184, -64,1733054344705</v>
      </c>
      <c r="J635" s="1">
        <v>37873</v>
      </c>
      <c r="K635" s="7">
        <f>INT((crimenes_cordoba_ampliado[[#This Row],[Fecha]]-crimenes_cordoba_ampliado[[#This Row],[Fecha Nac. Delincuente]])/365)</f>
        <v>17</v>
      </c>
      <c r="L635" s="7" t="str">
        <f>_xlfn.XLOOKUP(crimenes_cordoba_ampliado[[#This Row],[EDAD DELINCUENTE]],'Rango etareo'!$A$10:$A$25,'Rango etareo'!$B$10:$B$25,,-1)</f>
        <v>&lt;=17</v>
      </c>
      <c r="M635" s="3" t="s">
        <v>21</v>
      </c>
      <c r="N635" s="3" t="str">
        <f>IF(crimenes_cordoba_ampliado[[#This Row],[Género Delincuente]]="Femenino","🚺","🚹")</f>
        <v>🚺</v>
      </c>
      <c r="O635">
        <v>2</v>
      </c>
      <c r="P635" s="1">
        <v>15357</v>
      </c>
      <c r="Q635" s="7">
        <f>INT((crimenes_cordoba_ampliado[[#This Row],[Fecha]]-crimenes_cordoba_ampliado[[#This Row],[Fecha Nac. Víctima]])/365)</f>
        <v>79</v>
      </c>
      <c r="R635" s="7" t="str">
        <f>_xlfn.XLOOKUP(crimenes_cordoba_ampliado[[#This Row],[EDAD VICTIMA]],'Rango etareo'!$A$2:$A$25,'Rango etareo'!$B$2:$B$25,,-1)</f>
        <v>&gt;65</v>
      </c>
      <c r="S635" s="3" t="s">
        <v>21</v>
      </c>
      <c r="T635" s="3" t="str">
        <f>IF(crimenes_cordoba_ampliado[[#This Row],[Género Víctima]]="Masculino","🚹","🚺")</f>
        <v>🚺</v>
      </c>
      <c r="U635">
        <v>1</v>
      </c>
      <c r="V635" s="3" t="s">
        <v>25</v>
      </c>
      <c r="W635" s="3" t="s">
        <v>83</v>
      </c>
      <c r="X635" s="3" t="s">
        <v>29</v>
      </c>
      <c r="Y635" s="3" t="s">
        <v>24</v>
      </c>
      <c r="Z635" s="3" t="s">
        <v>25</v>
      </c>
      <c r="AA635" s="3" t="s">
        <v>23</v>
      </c>
      <c r="AB635" s="3" t="str">
        <f>IF(crimenes_cordoba_ampliado[[#This Row],[Hubo Arresto]]="Sí", "Resuelto", "Pendiente")</f>
        <v>Pendiente</v>
      </c>
      <c r="AC635" s="3" t="s">
        <v>24</v>
      </c>
      <c r="AD635" s="3"/>
    </row>
    <row r="636" spans="1:30" x14ac:dyDescent="0.25">
      <c r="A636">
        <v>367</v>
      </c>
      <c r="B636" s="1">
        <v>44406</v>
      </c>
      <c r="C636" s="33">
        <f t="shared" si="18"/>
        <v>44406</v>
      </c>
      <c r="D636" s="34">
        <f t="shared" si="19"/>
        <v>44406</v>
      </c>
      <c r="E636" s="35" t="s">
        <v>1454</v>
      </c>
      <c r="F636" s="2">
        <v>0.96458333333333335</v>
      </c>
      <c r="G636" s="3" t="s">
        <v>51</v>
      </c>
      <c r="H636" s="3" t="s">
        <v>65</v>
      </c>
      <c r="I636" s="25" t="str">
        <f>VLOOKUP(H636,Tabla5[#All],4,FALSE)</f>
        <v>-31,4285567311661, -64,1853198281007</v>
      </c>
      <c r="J636" s="1">
        <v>37799</v>
      </c>
      <c r="K636" s="7">
        <f>INT((crimenes_cordoba_ampliado[[#This Row],[Fecha]]-crimenes_cordoba_ampliado[[#This Row],[Fecha Nac. Delincuente]])/365)</f>
        <v>18</v>
      </c>
      <c r="L636" s="7" t="str">
        <f>_xlfn.XLOOKUP(crimenes_cordoba_ampliado[[#This Row],[EDAD DELINCUENTE]],'Rango etareo'!$A$10:$A$25,'Rango etareo'!$B$10:$B$25,,-1)</f>
        <v>18 - 25</v>
      </c>
      <c r="M636" s="3" t="s">
        <v>21</v>
      </c>
      <c r="N636" s="3" t="str">
        <f>IF(crimenes_cordoba_ampliado[[#This Row],[Género Delincuente]]="Femenino","🚺","🚹")</f>
        <v>🚺</v>
      </c>
      <c r="O636">
        <v>4</v>
      </c>
      <c r="P636" s="1">
        <v>17699</v>
      </c>
      <c r="Q636" s="7">
        <f>INT((crimenes_cordoba_ampliado[[#This Row],[Fecha]]-crimenes_cordoba_ampliado[[#This Row],[Fecha Nac. Víctima]])/365)</f>
        <v>73</v>
      </c>
      <c r="R636" s="7" t="str">
        <f>_xlfn.XLOOKUP(crimenes_cordoba_ampliado[[#This Row],[EDAD VICTIMA]],'Rango etareo'!$A$2:$A$25,'Rango etareo'!$B$2:$B$25,,-1)</f>
        <v>&gt;65</v>
      </c>
      <c r="S636" s="3" t="s">
        <v>22</v>
      </c>
      <c r="T636" s="3" t="str">
        <f>IF(crimenes_cordoba_ampliado[[#This Row],[Género Víctima]]="Masculino","🚹","🚺")</f>
        <v>🚹</v>
      </c>
      <c r="U636">
        <v>3</v>
      </c>
      <c r="V636" s="3" t="s">
        <v>25</v>
      </c>
      <c r="W636" s="3" t="s">
        <v>63</v>
      </c>
      <c r="X636" s="3" t="s">
        <v>24</v>
      </c>
      <c r="Y636" s="3" t="s">
        <v>64</v>
      </c>
      <c r="Z636" s="3" t="s">
        <v>23</v>
      </c>
      <c r="AA636" s="3" t="s">
        <v>25</v>
      </c>
      <c r="AB636" s="3" t="str">
        <f>IF(crimenes_cordoba_ampliado[[#This Row],[Hubo Arresto]]="Sí", "Resuelto", "Pendiente")</f>
        <v>Pendiente</v>
      </c>
      <c r="AC636" s="3" t="s">
        <v>24</v>
      </c>
      <c r="AD636" s="3"/>
    </row>
    <row r="637" spans="1:30" x14ac:dyDescent="0.25">
      <c r="A637">
        <v>627</v>
      </c>
      <c r="B637" s="1">
        <v>44980</v>
      </c>
      <c r="C637" s="33">
        <f t="shared" si="18"/>
        <v>44980</v>
      </c>
      <c r="D637" s="34">
        <f t="shared" si="19"/>
        <v>44980</v>
      </c>
      <c r="E637" s="35" t="s">
        <v>1454</v>
      </c>
      <c r="F637" s="2">
        <v>0.72152777777777777</v>
      </c>
      <c r="G637" s="3" t="s">
        <v>38</v>
      </c>
      <c r="H637" s="3" t="s">
        <v>70</v>
      </c>
      <c r="I637" s="25" t="str">
        <f>VLOOKUP(H637,Tabla5[#All],4,FALSE)</f>
        <v>-31,3759272890294, -64,2284587792478</v>
      </c>
      <c r="J637" s="1">
        <v>35838</v>
      </c>
      <c r="K637" s="7">
        <f>INT((crimenes_cordoba_ampliado[[#This Row],[Fecha]]-crimenes_cordoba_ampliado[[#This Row],[Fecha Nac. Delincuente]])/365)</f>
        <v>25</v>
      </c>
      <c r="L637" s="7" t="str">
        <f>_xlfn.XLOOKUP(crimenes_cordoba_ampliado[[#This Row],[EDAD DELINCUENTE]],'Rango etareo'!$A$10:$A$25,'Rango etareo'!$B$10:$B$25,,-1)</f>
        <v>18 - 25</v>
      </c>
      <c r="M637" s="3" t="s">
        <v>22</v>
      </c>
      <c r="N637" s="3" t="str">
        <f>IF(crimenes_cordoba_ampliado[[#This Row],[Género Delincuente]]="Femenino","🚺","🚹")</f>
        <v>🚹</v>
      </c>
      <c r="O637">
        <v>1</v>
      </c>
      <c r="P637" s="1">
        <v>37085</v>
      </c>
      <c r="Q637" s="7">
        <f>INT((crimenes_cordoba_ampliado[[#This Row],[Fecha]]-crimenes_cordoba_ampliado[[#This Row],[Fecha Nac. Víctima]])/365)</f>
        <v>21</v>
      </c>
      <c r="R637" s="7" t="str">
        <f>_xlfn.XLOOKUP(crimenes_cordoba_ampliado[[#This Row],[EDAD VICTIMA]],'Rango etareo'!$A$2:$A$25,'Rango etareo'!$B$2:$B$25,,-1)</f>
        <v>18 - 25</v>
      </c>
      <c r="S637" s="3" t="s">
        <v>22</v>
      </c>
      <c r="T637" s="3" t="str">
        <f>IF(crimenes_cordoba_ampliado[[#This Row],[Género Víctima]]="Masculino","🚹","🚺")</f>
        <v>🚹</v>
      </c>
      <c r="U637">
        <v>3</v>
      </c>
      <c r="V637" s="3" t="s">
        <v>23</v>
      </c>
      <c r="W637" s="3" t="s">
        <v>24</v>
      </c>
      <c r="X637" s="3" t="s">
        <v>24</v>
      </c>
      <c r="Y637" s="3" t="s">
        <v>69</v>
      </c>
      <c r="Z637" s="3" t="s">
        <v>23</v>
      </c>
      <c r="AA637" s="3" t="s">
        <v>25</v>
      </c>
      <c r="AB637" s="3" t="str">
        <f>IF(crimenes_cordoba_ampliado[[#This Row],[Hubo Arresto]]="Sí", "Resuelto", "Pendiente")</f>
        <v>Resuelto</v>
      </c>
      <c r="AC637" s="3" t="s">
        <v>281</v>
      </c>
      <c r="AD637" s="3"/>
    </row>
    <row r="638" spans="1:30" x14ac:dyDescent="0.25">
      <c r="A638">
        <v>383</v>
      </c>
      <c r="B638" s="1">
        <v>44409</v>
      </c>
      <c r="C638" s="33">
        <f t="shared" si="18"/>
        <v>44409</v>
      </c>
      <c r="D638" s="34">
        <f t="shared" si="19"/>
        <v>44409</v>
      </c>
      <c r="E638" s="35" t="s">
        <v>1449</v>
      </c>
      <c r="F638" s="2">
        <v>0.8256944444444444</v>
      </c>
      <c r="G638" s="3" t="s">
        <v>38</v>
      </c>
      <c r="H638" s="3" t="s">
        <v>28</v>
      </c>
      <c r="I638" s="25" t="str">
        <f>VLOOKUP(H638,Tabla5[#All],4,FALSE)</f>
        <v>-31,4129883640337, -64,1681120522587</v>
      </c>
      <c r="J638" s="1">
        <v>32705</v>
      </c>
      <c r="K638" s="7">
        <f>INT((crimenes_cordoba_ampliado[[#This Row],[Fecha]]-crimenes_cordoba_ampliado[[#This Row],[Fecha Nac. Delincuente]])/365)</f>
        <v>32</v>
      </c>
      <c r="L638" s="7" t="str">
        <f>_xlfn.XLOOKUP(crimenes_cordoba_ampliado[[#This Row],[EDAD DELINCUENTE]],'Rango etareo'!$A$10:$A$25,'Rango etareo'!$B$10:$B$25,,-1)</f>
        <v>26 - 35</v>
      </c>
      <c r="M638" s="3" t="s">
        <v>22</v>
      </c>
      <c r="N638" s="3" t="str">
        <f>IF(crimenes_cordoba_ampliado[[#This Row],[Género Delincuente]]="Femenino","🚺","🚹")</f>
        <v>🚹</v>
      </c>
      <c r="O638">
        <v>4</v>
      </c>
      <c r="P638" s="1">
        <v>14858</v>
      </c>
      <c r="Q638" s="7">
        <f>INT((crimenes_cordoba_ampliado[[#This Row],[Fecha]]-crimenes_cordoba_ampliado[[#This Row],[Fecha Nac. Víctima]])/365)</f>
        <v>80</v>
      </c>
      <c r="R638" s="7" t="str">
        <f>_xlfn.XLOOKUP(crimenes_cordoba_ampliado[[#This Row],[EDAD VICTIMA]],'Rango etareo'!$A$2:$A$25,'Rango etareo'!$B$2:$B$25,,-1)</f>
        <v>&gt;65</v>
      </c>
      <c r="S638" s="3" t="s">
        <v>21</v>
      </c>
      <c r="T638" s="3" t="str">
        <f>IF(crimenes_cordoba_ampliado[[#This Row],[Género Víctima]]="Masculino","🚹","🚺")</f>
        <v>🚺</v>
      </c>
      <c r="U638">
        <v>2</v>
      </c>
      <c r="V638" s="3" t="s">
        <v>25</v>
      </c>
      <c r="W638" s="3" t="s">
        <v>71</v>
      </c>
      <c r="X638" s="3" t="s">
        <v>24</v>
      </c>
      <c r="Y638" s="3" t="s">
        <v>77</v>
      </c>
      <c r="Z638" s="3" t="s">
        <v>25</v>
      </c>
      <c r="AA638" s="3" t="s">
        <v>25</v>
      </c>
      <c r="AB638" s="3" t="str">
        <f>IF(crimenes_cordoba_ampliado[[#This Row],[Hubo Arresto]]="Sí", "Resuelto", "Pendiente")</f>
        <v>Pendiente</v>
      </c>
      <c r="AC638" s="3" t="s">
        <v>24</v>
      </c>
      <c r="AD638" s="3"/>
    </row>
    <row r="639" spans="1:30" x14ac:dyDescent="0.25">
      <c r="A639">
        <v>425</v>
      </c>
      <c r="B639" s="1">
        <v>44411</v>
      </c>
      <c r="C639" s="33">
        <f t="shared" si="18"/>
        <v>44411</v>
      </c>
      <c r="D639" s="34">
        <f t="shared" si="19"/>
        <v>44411</v>
      </c>
      <c r="E639" s="35" t="s">
        <v>1453</v>
      </c>
      <c r="F639" s="2">
        <v>0.89583333333333337</v>
      </c>
      <c r="G639" s="3" t="s">
        <v>31</v>
      </c>
      <c r="H639" s="3" t="s">
        <v>40</v>
      </c>
      <c r="I639" s="25" t="str">
        <f>VLOOKUP(H639,Tabla5[#All],4,FALSE)</f>
        <v>-31,334500143441, -64,2460773260564</v>
      </c>
      <c r="J639" s="1">
        <v>32822</v>
      </c>
      <c r="K639" s="7">
        <f>INT((crimenes_cordoba_ampliado[[#This Row],[Fecha]]-crimenes_cordoba_ampliado[[#This Row],[Fecha Nac. Delincuente]])/365)</f>
        <v>31</v>
      </c>
      <c r="L639" s="7" t="str">
        <f>_xlfn.XLOOKUP(crimenes_cordoba_ampliado[[#This Row],[EDAD DELINCUENTE]],'Rango etareo'!$A$10:$A$25,'Rango etareo'!$B$10:$B$25,,-1)</f>
        <v>26 - 35</v>
      </c>
      <c r="M639" s="3" t="s">
        <v>21</v>
      </c>
      <c r="N639" s="3" t="str">
        <f>IF(crimenes_cordoba_ampliado[[#This Row],[Género Delincuente]]="Femenino","🚺","🚹")</f>
        <v>🚺</v>
      </c>
      <c r="O639">
        <v>1</v>
      </c>
      <c r="P639" s="1">
        <v>32389</v>
      </c>
      <c r="Q639" s="7">
        <f>INT((crimenes_cordoba_ampliado[[#This Row],[Fecha]]-crimenes_cordoba_ampliado[[#This Row],[Fecha Nac. Víctima]])/365)</f>
        <v>32</v>
      </c>
      <c r="R639" s="7" t="str">
        <f>_xlfn.XLOOKUP(crimenes_cordoba_ampliado[[#This Row],[EDAD VICTIMA]],'Rango etareo'!$A$2:$A$25,'Rango etareo'!$B$2:$B$25,,-1)</f>
        <v>26 - 35</v>
      </c>
      <c r="S639" s="3" t="s">
        <v>22</v>
      </c>
      <c r="T639" s="3" t="str">
        <f>IF(crimenes_cordoba_ampliado[[#This Row],[Género Víctima]]="Masculino","🚹","🚺")</f>
        <v>🚹</v>
      </c>
      <c r="U639">
        <v>1</v>
      </c>
      <c r="V639" s="3" t="s">
        <v>25</v>
      </c>
      <c r="W639" s="3" t="s">
        <v>24</v>
      </c>
      <c r="X639" s="3" t="s">
        <v>41</v>
      </c>
      <c r="Y639" s="3" t="s">
        <v>24</v>
      </c>
      <c r="Z639" s="3" t="s">
        <v>25</v>
      </c>
      <c r="AA639" s="3" t="s">
        <v>23</v>
      </c>
      <c r="AB639" s="3" t="str">
        <f>IF(crimenes_cordoba_ampliado[[#This Row],[Hubo Arresto]]="Sí", "Resuelto", "Pendiente")</f>
        <v>Pendiente</v>
      </c>
      <c r="AC639" s="3" t="s">
        <v>24</v>
      </c>
      <c r="AD639" s="3"/>
    </row>
    <row r="640" spans="1:30" x14ac:dyDescent="0.25">
      <c r="A640">
        <v>80</v>
      </c>
      <c r="B640" s="1">
        <v>44413</v>
      </c>
      <c r="C640" s="33">
        <f t="shared" si="18"/>
        <v>44413</v>
      </c>
      <c r="D640" s="34">
        <f t="shared" si="19"/>
        <v>44413</v>
      </c>
      <c r="E640" s="35" t="s">
        <v>1454</v>
      </c>
      <c r="F640" s="2">
        <v>0.14930555555555555</v>
      </c>
      <c r="G640" s="3" t="s">
        <v>79</v>
      </c>
      <c r="H640" s="3" t="s">
        <v>55</v>
      </c>
      <c r="I640" s="25" t="str">
        <f>VLOOKUP(H640,Tabla5[#All],4,FALSE)</f>
        <v>-31,4015892433235, -64,160442876477</v>
      </c>
      <c r="J640" s="1">
        <v>23325</v>
      </c>
      <c r="K640" s="7">
        <f>INT((crimenes_cordoba_ampliado[[#This Row],[Fecha]]-crimenes_cordoba_ampliado[[#This Row],[Fecha Nac. Delincuente]])/365)</f>
        <v>57</v>
      </c>
      <c r="L640" s="7" t="str">
        <f>_xlfn.XLOOKUP(crimenes_cordoba_ampliado[[#This Row],[EDAD DELINCUENTE]],'Rango etareo'!$A$10:$A$25,'Rango etareo'!$B$10:$B$25,,-1)</f>
        <v>56 - 65</v>
      </c>
      <c r="M640" s="3" t="s">
        <v>21</v>
      </c>
      <c r="N640" s="3" t="str">
        <f>IF(crimenes_cordoba_ampliado[[#This Row],[Género Delincuente]]="Femenino","🚺","🚹")</f>
        <v>🚺</v>
      </c>
      <c r="O640">
        <v>3</v>
      </c>
      <c r="P640" s="1">
        <v>40621</v>
      </c>
      <c r="Q640" s="7">
        <f>INT((crimenes_cordoba_ampliado[[#This Row],[Fecha]]-crimenes_cordoba_ampliado[[#This Row],[Fecha Nac. Víctima]])/365)</f>
        <v>10</v>
      </c>
      <c r="R640" s="7" t="str">
        <f>_xlfn.XLOOKUP(crimenes_cordoba_ampliado[[#This Row],[EDAD VICTIMA]],'Rango etareo'!$A$2:$A$25,'Rango etareo'!$B$2:$B$25,,-1)</f>
        <v>&lt;=17</v>
      </c>
      <c r="S640" s="3" t="s">
        <v>22</v>
      </c>
      <c r="T640" s="3" t="str">
        <f>IF(crimenes_cordoba_ampliado[[#This Row],[Género Víctima]]="Masculino","🚹","🚺")</f>
        <v>🚹</v>
      </c>
      <c r="U640">
        <v>1</v>
      </c>
      <c r="V640" s="3" t="s">
        <v>25</v>
      </c>
      <c r="W640" s="3" t="s">
        <v>24</v>
      </c>
      <c r="X640" s="3" t="s">
        <v>24</v>
      </c>
      <c r="Y640" s="3" t="s">
        <v>113</v>
      </c>
      <c r="Z640" s="3" t="s">
        <v>25</v>
      </c>
      <c r="AA640" s="3" t="s">
        <v>23</v>
      </c>
      <c r="AB640" s="3" t="str">
        <f>IF(crimenes_cordoba_ampliado[[#This Row],[Hubo Arresto]]="Sí", "Resuelto", "Pendiente")</f>
        <v>Pendiente</v>
      </c>
      <c r="AC640" s="3" t="s">
        <v>24</v>
      </c>
      <c r="AD640" s="3"/>
    </row>
    <row r="641" spans="1:30" x14ac:dyDescent="0.25">
      <c r="A641">
        <v>626</v>
      </c>
      <c r="B641" s="1">
        <v>44415</v>
      </c>
      <c r="C641" s="33">
        <f t="shared" si="18"/>
        <v>44415</v>
      </c>
      <c r="D641" s="34">
        <f t="shared" si="19"/>
        <v>44415</v>
      </c>
      <c r="E641" s="35" t="s">
        <v>1451</v>
      </c>
      <c r="F641" s="2">
        <v>0.56388888888888888</v>
      </c>
      <c r="G641" s="3" t="s">
        <v>38</v>
      </c>
      <c r="H641" s="3" t="s">
        <v>65</v>
      </c>
      <c r="I641" s="25" t="str">
        <f>VLOOKUP(H641,Tabla5[#All],4,FALSE)</f>
        <v>-31,4285567311661, -64,1853198281007</v>
      </c>
      <c r="J641" s="1">
        <v>29550</v>
      </c>
      <c r="K641" s="7">
        <f>INT((crimenes_cordoba_ampliado[[#This Row],[Fecha]]-crimenes_cordoba_ampliado[[#This Row],[Fecha Nac. Delincuente]])/365)</f>
        <v>40</v>
      </c>
      <c r="L641" s="7" t="str">
        <f>_xlfn.XLOOKUP(crimenes_cordoba_ampliado[[#This Row],[EDAD DELINCUENTE]],'Rango etareo'!$A$10:$A$25,'Rango etareo'!$B$10:$B$25,,-1)</f>
        <v>36 - 45</v>
      </c>
      <c r="M641" s="3" t="s">
        <v>22</v>
      </c>
      <c r="N641" s="3" t="str">
        <f>IF(crimenes_cordoba_ampliado[[#This Row],[Género Delincuente]]="Femenino","🚺","🚹")</f>
        <v>🚹</v>
      </c>
      <c r="O641">
        <v>2</v>
      </c>
      <c r="P641" s="1">
        <v>37205</v>
      </c>
      <c r="Q641" s="7">
        <f>INT((crimenes_cordoba_ampliado[[#This Row],[Fecha]]-crimenes_cordoba_ampliado[[#This Row],[Fecha Nac. Víctima]])/365)</f>
        <v>19</v>
      </c>
      <c r="R641" s="7" t="str">
        <f>_xlfn.XLOOKUP(crimenes_cordoba_ampliado[[#This Row],[EDAD VICTIMA]],'Rango etareo'!$A$2:$A$25,'Rango etareo'!$B$2:$B$25,,-1)</f>
        <v>18 - 25</v>
      </c>
      <c r="S641" s="3" t="s">
        <v>22</v>
      </c>
      <c r="T641" s="3" t="str">
        <f>IF(crimenes_cordoba_ampliado[[#This Row],[Género Víctima]]="Masculino","🚹","🚺")</f>
        <v>🚹</v>
      </c>
      <c r="U641">
        <v>3</v>
      </c>
      <c r="V641" s="3" t="s">
        <v>25</v>
      </c>
      <c r="W641" s="3" t="s">
        <v>24</v>
      </c>
      <c r="X641" s="3" t="s">
        <v>41</v>
      </c>
      <c r="Y641" s="3" t="s">
        <v>24</v>
      </c>
      <c r="Z641" s="3" t="s">
        <v>25</v>
      </c>
      <c r="AA641" s="3" t="s">
        <v>25</v>
      </c>
      <c r="AB641" s="3" t="str">
        <f>IF(crimenes_cordoba_ampliado[[#This Row],[Hubo Arresto]]="Sí", "Resuelto", "Pendiente")</f>
        <v>Pendiente</v>
      </c>
      <c r="AC641" s="3" t="s">
        <v>24</v>
      </c>
      <c r="AD641" s="3"/>
    </row>
    <row r="642" spans="1:30" x14ac:dyDescent="0.25">
      <c r="A642">
        <v>630</v>
      </c>
      <c r="B642" s="1">
        <v>42413</v>
      </c>
      <c r="C642" s="33">
        <f t="shared" ref="C642:C705" si="20">B:B</f>
        <v>42413</v>
      </c>
      <c r="D642" s="34">
        <f t="shared" ref="D642:D705" si="21">B:B</f>
        <v>42413</v>
      </c>
      <c r="E642" s="35" t="s">
        <v>1451</v>
      </c>
      <c r="F642" s="2">
        <v>0.70625000000000004</v>
      </c>
      <c r="G642" s="3" t="s">
        <v>19</v>
      </c>
      <c r="H642" s="3" t="s">
        <v>32</v>
      </c>
      <c r="I642" s="25" t="str">
        <f>VLOOKUP(H642,Tabla5[#All],4,FALSE)</f>
        <v>-31,4148488101991, -64,1793406489438</v>
      </c>
      <c r="J642" s="1">
        <v>37541</v>
      </c>
      <c r="K642" s="7">
        <f>INT((crimenes_cordoba_ampliado[[#This Row],[Fecha]]-crimenes_cordoba_ampliado[[#This Row],[Fecha Nac. Delincuente]])/365)</f>
        <v>13</v>
      </c>
      <c r="L642" s="7" t="str">
        <f>_xlfn.XLOOKUP(crimenes_cordoba_ampliado[[#This Row],[EDAD DELINCUENTE]],'Rango etareo'!$A$10:$A$25,'Rango etareo'!$B$10:$B$25,,-1)</f>
        <v>&lt;=17</v>
      </c>
      <c r="M642" s="3" t="s">
        <v>21</v>
      </c>
      <c r="N642" s="3" t="str">
        <f>IF(crimenes_cordoba_ampliado[[#This Row],[Género Delincuente]]="Femenino","🚺","🚹")</f>
        <v>🚺</v>
      </c>
      <c r="O642">
        <v>4</v>
      </c>
      <c r="P642" s="1">
        <v>16718</v>
      </c>
      <c r="Q642" s="7">
        <f>INT((crimenes_cordoba_ampliado[[#This Row],[Fecha]]-crimenes_cordoba_ampliado[[#This Row],[Fecha Nac. Víctima]])/365)</f>
        <v>70</v>
      </c>
      <c r="R642" s="7" t="str">
        <f>_xlfn.XLOOKUP(crimenes_cordoba_ampliado[[#This Row],[EDAD VICTIMA]],'Rango etareo'!$A$2:$A$25,'Rango etareo'!$B$2:$B$25,,-1)</f>
        <v>&gt;65</v>
      </c>
      <c r="S642" s="3" t="s">
        <v>22</v>
      </c>
      <c r="T642" s="3" t="str">
        <f>IF(crimenes_cordoba_ampliado[[#This Row],[Género Víctima]]="Masculino","🚹","🚺")</f>
        <v>🚹</v>
      </c>
      <c r="U642">
        <v>2</v>
      </c>
      <c r="V642" s="3" t="s">
        <v>23</v>
      </c>
      <c r="W642" s="3" t="s">
        <v>24</v>
      </c>
      <c r="X642" s="3" t="s">
        <v>24</v>
      </c>
      <c r="Y642" s="3" t="s">
        <v>72</v>
      </c>
      <c r="Z642" s="3" t="s">
        <v>25</v>
      </c>
      <c r="AA642" s="3" t="s">
        <v>25</v>
      </c>
      <c r="AB642" s="3" t="str">
        <f>IF(crimenes_cordoba_ampliado[[#This Row],[Hubo Arresto]]="Sí", "Resuelto", "Pendiente")</f>
        <v>Resuelto</v>
      </c>
      <c r="AC642" s="3" t="s">
        <v>176</v>
      </c>
      <c r="AD642" s="3"/>
    </row>
    <row r="643" spans="1:30" x14ac:dyDescent="0.25">
      <c r="A643">
        <v>631</v>
      </c>
      <c r="B643" s="1">
        <v>45578</v>
      </c>
      <c r="C643" s="33">
        <f t="shared" si="20"/>
        <v>45578</v>
      </c>
      <c r="D643" s="34">
        <f t="shared" si="21"/>
        <v>45578</v>
      </c>
      <c r="E643" s="35" t="s">
        <v>1449</v>
      </c>
      <c r="F643" s="2">
        <v>0.55694444444444446</v>
      </c>
      <c r="G643" s="3" t="s">
        <v>51</v>
      </c>
      <c r="H643" s="3" t="s">
        <v>20</v>
      </c>
      <c r="I643" s="25" t="str">
        <f>VLOOKUP(H643,Tabla5[#All],4,FALSE)</f>
        <v>-31,4800162965848, -64,2094200976892</v>
      </c>
      <c r="J643" s="1">
        <v>35343</v>
      </c>
      <c r="K643" s="7">
        <f>INT((crimenes_cordoba_ampliado[[#This Row],[Fecha]]-crimenes_cordoba_ampliado[[#This Row],[Fecha Nac. Delincuente]])/365)</f>
        <v>28</v>
      </c>
      <c r="L643" s="7" t="str">
        <f>_xlfn.XLOOKUP(crimenes_cordoba_ampliado[[#This Row],[EDAD DELINCUENTE]],'Rango etareo'!$A$10:$A$25,'Rango etareo'!$B$10:$B$25,,-1)</f>
        <v>26 - 35</v>
      </c>
      <c r="M643" s="3" t="s">
        <v>22</v>
      </c>
      <c r="N643" s="3" t="str">
        <f>IF(crimenes_cordoba_ampliado[[#This Row],[Género Delincuente]]="Femenino","🚺","🚹")</f>
        <v>🚹</v>
      </c>
      <c r="O643">
        <v>1</v>
      </c>
      <c r="P643" s="1">
        <v>25273</v>
      </c>
      <c r="Q643" s="7">
        <f>INT((crimenes_cordoba_ampliado[[#This Row],[Fecha]]-crimenes_cordoba_ampliado[[#This Row],[Fecha Nac. Víctima]])/365)</f>
        <v>55</v>
      </c>
      <c r="R643" s="7" t="str">
        <f>_xlfn.XLOOKUP(crimenes_cordoba_ampliado[[#This Row],[EDAD VICTIMA]],'Rango etareo'!$A$2:$A$25,'Rango etareo'!$B$2:$B$25,,-1)</f>
        <v>46 - 55</v>
      </c>
      <c r="S643" s="3" t="s">
        <v>21</v>
      </c>
      <c r="T643" s="3" t="str">
        <f>IF(crimenes_cordoba_ampliado[[#This Row],[Género Víctima]]="Masculino","🚹","🚺")</f>
        <v>🚺</v>
      </c>
      <c r="U643">
        <v>2</v>
      </c>
      <c r="V643" s="3" t="s">
        <v>23</v>
      </c>
      <c r="W643" s="3" t="s">
        <v>24</v>
      </c>
      <c r="X643" s="3" t="s">
        <v>29</v>
      </c>
      <c r="Y643" s="3" t="s">
        <v>24</v>
      </c>
      <c r="Z643" s="3" t="s">
        <v>25</v>
      </c>
      <c r="AA643" s="3" t="s">
        <v>25</v>
      </c>
      <c r="AB643" s="3" t="str">
        <f>IF(crimenes_cordoba_ampliado[[#This Row],[Hubo Arresto]]="Sí", "Resuelto", "Pendiente")</f>
        <v>Resuelto</v>
      </c>
      <c r="AC643" s="3" t="s">
        <v>241</v>
      </c>
      <c r="AD643" s="3"/>
    </row>
    <row r="644" spans="1:30" x14ac:dyDescent="0.25">
      <c r="A644">
        <v>19</v>
      </c>
      <c r="B644" s="1">
        <v>44429</v>
      </c>
      <c r="C644" s="33">
        <f t="shared" si="20"/>
        <v>44429</v>
      </c>
      <c r="D644" s="34">
        <f t="shared" si="21"/>
        <v>44429</v>
      </c>
      <c r="E644" s="35" t="s">
        <v>1451</v>
      </c>
      <c r="F644" s="2">
        <v>0.77083333333333337</v>
      </c>
      <c r="G644" s="3" t="s">
        <v>38</v>
      </c>
      <c r="H644" s="3" t="s">
        <v>70</v>
      </c>
      <c r="I644" s="25" t="str">
        <f>VLOOKUP(H644,Tabla5[#All],4,FALSE)</f>
        <v>-31,3759272890294, -64,2284587792478</v>
      </c>
      <c r="J644" s="1">
        <v>34876</v>
      </c>
      <c r="K644" s="7">
        <f>INT((crimenes_cordoba_ampliado[[#This Row],[Fecha]]-crimenes_cordoba_ampliado[[#This Row],[Fecha Nac. Delincuente]])/365)</f>
        <v>26</v>
      </c>
      <c r="L644" s="7" t="str">
        <f>_xlfn.XLOOKUP(crimenes_cordoba_ampliado[[#This Row],[EDAD DELINCUENTE]],'Rango etareo'!$A$10:$A$25,'Rango etareo'!$B$10:$B$25,,-1)</f>
        <v>26 - 35</v>
      </c>
      <c r="M644" s="3" t="s">
        <v>22</v>
      </c>
      <c r="N644" s="3" t="str">
        <f>IF(crimenes_cordoba_ampliado[[#This Row],[Género Delincuente]]="Femenino","🚺","🚹")</f>
        <v>🚹</v>
      </c>
      <c r="O644">
        <v>2</v>
      </c>
      <c r="P644" s="1">
        <v>29059</v>
      </c>
      <c r="Q644" s="7">
        <f>INT((crimenes_cordoba_ampliado[[#This Row],[Fecha]]-crimenes_cordoba_ampliado[[#This Row],[Fecha Nac. Víctima]])/365)</f>
        <v>42</v>
      </c>
      <c r="R644" s="7" t="str">
        <f>_xlfn.XLOOKUP(crimenes_cordoba_ampliado[[#This Row],[EDAD VICTIMA]],'Rango etareo'!$A$2:$A$25,'Rango etareo'!$B$2:$B$25,,-1)</f>
        <v>36 - 45</v>
      </c>
      <c r="S644" s="3" t="s">
        <v>22</v>
      </c>
      <c r="T644" s="3" t="str">
        <f>IF(crimenes_cordoba_ampliado[[#This Row],[Género Víctima]]="Masculino","🚹","🚺")</f>
        <v>🚹</v>
      </c>
      <c r="U644">
        <v>2</v>
      </c>
      <c r="V644" s="3" t="s">
        <v>25</v>
      </c>
      <c r="W644" s="3" t="s">
        <v>71</v>
      </c>
      <c r="X644" s="3" t="s">
        <v>50</v>
      </c>
      <c r="Y644" s="3" t="s">
        <v>24</v>
      </c>
      <c r="Z644" s="3" t="s">
        <v>25</v>
      </c>
      <c r="AA644" s="3" t="s">
        <v>23</v>
      </c>
      <c r="AB644" s="3" t="str">
        <f>IF(crimenes_cordoba_ampliado[[#This Row],[Hubo Arresto]]="Sí", "Resuelto", "Pendiente")</f>
        <v>Pendiente</v>
      </c>
      <c r="AC644" s="3" t="s">
        <v>24</v>
      </c>
      <c r="AD644" s="3"/>
    </row>
    <row r="645" spans="1:30" x14ac:dyDescent="0.25">
      <c r="A645">
        <v>874</v>
      </c>
      <c r="B645" s="1">
        <v>44430</v>
      </c>
      <c r="C645" s="33">
        <f t="shared" si="20"/>
        <v>44430</v>
      </c>
      <c r="D645" s="34">
        <f t="shared" si="21"/>
        <v>44430</v>
      </c>
      <c r="E645" s="35" t="s">
        <v>1449</v>
      </c>
      <c r="F645" s="2">
        <v>0.89513888888888893</v>
      </c>
      <c r="G645" s="3" t="s">
        <v>35</v>
      </c>
      <c r="H645" s="3" t="s">
        <v>20</v>
      </c>
      <c r="I645" s="25" t="str">
        <f>VLOOKUP(H645,Tabla5[#All],4,FALSE)</f>
        <v>-31,4800162965848, -64,2094200976892</v>
      </c>
      <c r="J645" s="1">
        <v>23267</v>
      </c>
      <c r="K645" s="7">
        <f>INT((crimenes_cordoba_ampliado[[#This Row],[Fecha]]-crimenes_cordoba_ampliado[[#This Row],[Fecha Nac. Delincuente]])/365)</f>
        <v>57</v>
      </c>
      <c r="L645" s="7" t="str">
        <f>_xlfn.XLOOKUP(crimenes_cordoba_ampliado[[#This Row],[EDAD DELINCUENTE]],'Rango etareo'!$A$10:$A$25,'Rango etareo'!$B$10:$B$25,,-1)</f>
        <v>56 - 65</v>
      </c>
      <c r="M645" s="3" t="s">
        <v>22</v>
      </c>
      <c r="N645" s="3" t="str">
        <f>IF(crimenes_cordoba_ampliado[[#This Row],[Género Delincuente]]="Femenino","🚺","🚹")</f>
        <v>🚹</v>
      </c>
      <c r="O645">
        <v>5</v>
      </c>
      <c r="P645" s="1">
        <v>24778</v>
      </c>
      <c r="Q645" s="7">
        <f>INT((crimenes_cordoba_ampliado[[#This Row],[Fecha]]-crimenes_cordoba_ampliado[[#This Row],[Fecha Nac. Víctima]])/365)</f>
        <v>53</v>
      </c>
      <c r="R645" s="7" t="str">
        <f>_xlfn.XLOOKUP(crimenes_cordoba_ampliado[[#This Row],[EDAD VICTIMA]],'Rango etareo'!$A$2:$A$25,'Rango etareo'!$B$2:$B$25,,-1)</f>
        <v>46 - 55</v>
      </c>
      <c r="S645" s="3" t="s">
        <v>21</v>
      </c>
      <c r="T645" s="3" t="str">
        <f>IF(crimenes_cordoba_ampliado[[#This Row],[Género Víctima]]="Masculino","🚹","🚺")</f>
        <v>🚺</v>
      </c>
      <c r="U645">
        <v>1</v>
      </c>
      <c r="V645" s="3" t="s">
        <v>25</v>
      </c>
      <c r="W645" s="3" t="s">
        <v>36</v>
      </c>
      <c r="X645" s="3" t="s">
        <v>41</v>
      </c>
      <c r="Y645" s="3" t="s">
        <v>24</v>
      </c>
      <c r="Z645" s="3" t="s">
        <v>25</v>
      </c>
      <c r="AA645" s="3" t="s">
        <v>25</v>
      </c>
      <c r="AB645" s="3" t="str">
        <f>IF(crimenes_cordoba_ampliado[[#This Row],[Hubo Arresto]]="Sí", "Resuelto", "Pendiente")</f>
        <v>Pendiente</v>
      </c>
      <c r="AC645" s="3" t="s">
        <v>24</v>
      </c>
      <c r="AD645" s="3"/>
    </row>
    <row r="646" spans="1:30" x14ac:dyDescent="0.25">
      <c r="A646">
        <v>634</v>
      </c>
      <c r="B646" s="1">
        <v>45170</v>
      </c>
      <c r="C646" s="33">
        <f t="shared" si="20"/>
        <v>45170</v>
      </c>
      <c r="D646" s="34">
        <f t="shared" si="21"/>
        <v>45170</v>
      </c>
      <c r="E646" s="35" t="s">
        <v>1455</v>
      </c>
      <c r="F646" s="2">
        <v>0.54374999999999996</v>
      </c>
      <c r="G646" s="3" t="s">
        <v>38</v>
      </c>
      <c r="H646" s="3" t="s">
        <v>49</v>
      </c>
      <c r="I646" s="25" t="str">
        <f>VLOOKUP(H646,Tabla5[#All],4,FALSE)</f>
        <v>-31,4506257494184, -64,1733054344705</v>
      </c>
      <c r="J646" s="1">
        <v>29871</v>
      </c>
      <c r="K646" s="7">
        <f>INT((crimenes_cordoba_ampliado[[#This Row],[Fecha]]-crimenes_cordoba_ampliado[[#This Row],[Fecha Nac. Delincuente]])/365)</f>
        <v>41</v>
      </c>
      <c r="L646" s="7" t="str">
        <f>_xlfn.XLOOKUP(crimenes_cordoba_ampliado[[#This Row],[EDAD DELINCUENTE]],'Rango etareo'!$A$10:$A$25,'Rango etareo'!$B$10:$B$25,,-1)</f>
        <v>36 - 45</v>
      </c>
      <c r="M646" s="3" t="s">
        <v>22</v>
      </c>
      <c r="N646" s="3" t="str">
        <f>IF(crimenes_cordoba_ampliado[[#This Row],[Género Delincuente]]="Femenino","🚺","🚹")</f>
        <v>🚹</v>
      </c>
      <c r="O646">
        <v>2</v>
      </c>
      <c r="P646" s="1">
        <v>39823</v>
      </c>
      <c r="Q646" s="7">
        <f>INT((crimenes_cordoba_ampliado[[#This Row],[Fecha]]-crimenes_cordoba_ampliado[[#This Row],[Fecha Nac. Víctima]])/365)</f>
        <v>14</v>
      </c>
      <c r="R646" s="7" t="str">
        <f>_xlfn.XLOOKUP(crimenes_cordoba_ampliado[[#This Row],[EDAD VICTIMA]],'Rango etareo'!$A$2:$A$25,'Rango etareo'!$B$2:$B$25,,-1)</f>
        <v>&lt;=17</v>
      </c>
      <c r="S646" s="3" t="s">
        <v>21</v>
      </c>
      <c r="T646" s="3" t="str">
        <f>IF(crimenes_cordoba_ampliado[[#This Row],[Género Víctima]]="Masculino","🚹","🚺")</f>
        <v>🚺</v>
      </c>
      <c r="U646">
        <v>3</v>
      </c>
      <c r="V646" s="3" t="s">
        <v>23</v>
      </c>
      <c r="W646" s="3" t="s">
        <v>24</v>
      </c>
      <c r="X646" s="3" t="s">
        <v>24</v>
      </c>
      <c r="Y646" s="3" t="s">
        <v>72</v>
      </c>
      <c r="Z646" s="3" t="s">
        <v>25</v>
      </c>
      <c r="AA646" s="3" t="s">
        <v>25</v>
      </c>
      <c r="AB646" s="3" t="str">
        <f>IF(crimenes_cordoba_ampliado[[#This Row],[Hubo Arresto]]="Sí", "Resuelto", "Pendiente")</f>
        <v>Resuelto</v>
      </c>
      <c r="AC646" s="3" t="s">
        <v>207</v>
      </c>
      <c r="AD646" s="3"/>
    </row>
    <row r="647" spans="1:30" x14ac:dyDescent="0.25">
      <c r="A647">
        <v>636</v>
      </c>
      <c r="B647" s="1">
        <v>45385</v>
      </c>
      <c r="C647" s="33">
        <f t="shared" si="20"/>
        <v>45385</v>
      </c>
      <c r="D647" s="34">
        <f t="shared" si="21"/>
        <v>45385</v>
      </c>
      <c r="E647" s="35" t="s">
        <v>1450</v>
      </c>
      <c r="F647" s="2">
        <v>0.18888888888888888</v>
      </c>
      <c r="G647" s="3" t="s">
        <v>45</v>
      </c>
      <c r="H647" s="3" t="s">
        <v>62</v>
      </c>
      <c r="I647" s="25" t="str">
        <f>VLOOKUP(H647,Tabla5[#All],4,FALSE)</f>
        <v>-31,3909520937826, -64,1836424491715</v>
      </c>
      <c r="J647" s="1">
        <v>25200</v>
      </c>
      <c r="K647" s="7">
        <f>INT((crimenes_cordoba_ampliado[[#This Row],[Fecha]]-crimenes_cordoba_ampliado[[#This Row],[Fecha Nac. Delincuente]])/365)</f>
        <v>55</v>
      </c>
      <c r="L647" s="7" t="str">
        <f>_xlfn.XLOOKUP(crimenes_cordoba_ampliado[[#This Row],[EDAD DELINCUENTE]],'Rango etareo'!$A$10:$A$25,'Rango etareo'!$B$10:$B$25,,-1)</f>
        <v>46 - 55</v>
      </c>
      <c r="M647" s="3" t="s">
        <v>21</v>
      </c>
      <c r="N647" s="3" t="str">
        <f>IF(crimenes_cordoba_ampliado[[#This Row],[Género Delincuente]]="Femenino","🚺","🚹")</f>
        <v>🚺</v>
      </c>
      <c r="O647">
        <v>3</v>
      </c>
      <c r="P647" s="1">
        <v>38005</v>
      </c>
      <c r="Q647" s="7">
        <f>INT((crimenes_cordoba_ampliado[[#This Row],[Fecha]]-crimenes_cordoba_ampliado[[#This Row],[Fecha Nac. Víctima]])/365)</f>
        <v>20</v>
      </c>
      <c r="R647" s="7" t="str">
        <f>_xlfn.XLOOKUP(crimenes_cordoba_ampliado[[#This Row],[EDAD VICTIMA]],'Rango etareo'!$A$2:$A$25,'Rango etareo'!$B$2:$B$25,,-1)</f>
        <v>18 - 25</v>
      </c>
      <c r="S647" s="3" t="s">
        <v>21</v>
      </c>
      <c r="T647" s="3" t="str">
        <f>IF(crimenes_cordoba_ampliado[[#This Row],[Género Víctima]]="Masculino","🚹","🚺")</f>
        <v>🚺</v>
      </c>
      <c r="U647">
        <v>3</v>
      </c>
      <c r="V647" s="3" t="s">
        <v>23</v>
      </c>
      <c r="W647" s="3" t="s">
        <v>24</v>
      </c>
      <c r="X647" s="3" t="s">
        <v>24</v>
      </c>
      <c r="Y647" s="3" t="s">
        <v>53</v>
      </c>
      <c r="Z647" s="3" t="s">
        <v>25</v>
      </c>
      <c r="AA647" s="3" t="s">
        <v>23</v>
      </c>
      <c r="AB647" s="3" t="str">
        <f>IF(crimenes_cordoba_ampliado[[#This Row],[Hubo Arresto]]="Sí", "Resuelto", "Pendiente")</f>
        <v>Resuelto</v>
      </c>
      <c r="AC647" s="3" t="s">
        <v>90</v>
      </c>
      <c r="AD647" s="3"/>
    </row>
    <row r="648" spans="1:30" x14ac:dyDescent="0.25">
      <c r="A648">
        <v>99</v>
      </c>
      <c r="B648" s="1">
        <v>44434</v>
      </c>
      <c r="C648" s="33">
        <f t="shared" si="20"/>
        <v>44434</v>
      </c>
      <c r="D648" s="34">
        <f t="shared" si="21"/>
        <v>44434</v>
      </c>
      <c r="E648" s="35" t="s">
        <v>1454</v>
      </c>
      <c r="F648" s="2">
        <v>1.2500000000000001E-2</v>
      </c>
      <c r="G648" s="3" t="s">
        <v>81</v>
      </c>
      <c r="H648" s="3" t="s">
        <v>32</v>
      </c>
      <c r="I648" s="25" t="str">
        <f>VLOOKUP(H648,Tabla5[#All],4,FALSE)</f>
        <v>-31,4148488101991, -64,1793406489438</v>
      </c>
      <c r="J648" s="1">
        <v>39037</v>
      </c>
      <c r="K648" s="7">
        <f>INT((crimenes_cordoba_ampliado[[#This Row],[Fecha]]-crimenes_cordoba_ampliado[[#This Row],[Fecha Nac. Delincuente]])/365)</f>
        <v>14</v>
      </c>
      <c r="L648" s="7" t="str">
        <f>_xlfn.XLOOKUP(crimenes_cordoba_ampliado[[#This Row],[EDAD DELINCUENTE]],'Rango etareo'!$A$10:$A$25,'Rango etareo'!$B$10:$B$25,,-1)</f>
        <v>&lt;=17</v>
      </c>
      <c r="M648" s="3" t="s">
        <v>22</v>
      </c>
      <c r="N648" s="3" t="str">
        <f>IF(crimenes_cordoba_ampliado[[#This Row],[Género Delincuente]]="Femenino","🚺","🚹")</f>
        <v>🚹</v>
      </c>
      <c r="O648">
        <v>5</v>
      </c>
      <c r="P648" s="1">
        <v>22452</v>
      </c>
      <c r="Q648" s="7">
        <f>INT((crimenes_cordoba_ampliado[[#This Row],[Fecha]]-crimenes_cordoba_ampliado[[#This Row],[Fecha Nac. Víctima]])/365)</f>
        <v>60</v>
      </c>
      <c r="R648" s="7" t="str">
        <f>_xlfn.XLOOKUP(crimenes_cordoba_ampliado[[#This Row],[EDAD VICTIMA]],'Rango etareo'!$A$2:$A$25,'Rango etareo'!$B$2:$B$25,,-1)</f>
        <v>56 - 65</v>
      </c>
      <c r="S648" s="3" t="s">
        <v>22</v>
      </c>
      <c r="T648" s="3" t="str">
        <f>IF(crimenes_cordoba_ampliado[[#This Row],[Género Víctima]]="Masculino","🚹","🚺")</f>
        <v>🚹</v>
      </c>
      <c r="U648">
        <v>2</v>
      </c>
      <c r="V648" s="3" t="s">
        <v>25</v>
      </c>
      <c r="W648" s="3" t="s">
        <v>24</v>
      </c>
      <c r="X648" s="3" t="s">
        <v>29</v>
      </c>
      <c r="Y648" s="3" t="s">
        <v>24</v>
      </c>
      <c r="Z648" s="3" t="s">
        <v>23</v>
      </c>
      <c r="AA648" s="3" t="s">
        <v>25</v>
      </c>
      <c r="AB648" s="3" t="str">
        <f>IF(crimenes_cordoba_ampliado[[#This Row],[Hubo Arresto]]="Sí", "Resuelto", "Pendiente")</f>
        <v>Pendiente</v>
      </c>
      <c r="AC648" s="3" t="s">
        <v>24</v>
      </c>
      <c r="AD648" s="3"/>
    </row>
    <row r="649" spans="1:30" x14ac:dyDescent="0.25">
      <c r="A649">
        <v>637</v>
      </c>
      <c r="B649" s="1">
        <v>44196</v>
      </c>
      <c r="C649" s="33">
        <f t="shared" si="20"/>
        <v>44196</v>
      </c>
      <c r="D649" s="34">
        <f t="shared" si="21"/>
        <v>44196</v>
      </c>
      <c r="E649" s="35" t="s">
        <v>1454</v>
      </c>
      <c r="F649" s="2">
        <v>0.42916666666666664</v>
      </c>
      <c r="G649" s="3" t="s">
        <v>19</v>
      </c>
      <c r="H649" s="3" t="s">
        <v>28</v>
      </c>
      <c r="I649" s="25" t="str">
        <f>VLOOKUP(H649,Tabla5[#All],4,FALSE)</f>
        <v>-31,4129883640337, -64,1681120522587</v>
      </c>
      <c r="J649" s="1">
        <v>25938</v>
      </c>
      <c r="K649" s="7">
        <f>INT((crimenes_cordoba_ampliado[[#This Row],[Fecha]]-crimenes_cordoba_ampliado[[#This Row],[Fecha Nac. Delincuente]])/365)</f>
        <v>50</v>
      </c>
      <c r="L649" s="7" t="str">
        <f>_xlfn.XLOOKUP(crimenes_cordoba_ampliado[[#This Row],[EDAD DELINCUENTE]],'Rango etareo'!$A$10:$A$25,'Rango etareo'!$B$10:$B$25,,-1)</f>
        <v>46 - 55</v>
      </c>
      <c r="M649" s="3" t="s">
        <v>21</v>
      </c>
      <c r="N649" s="3" t="str">
        <f>IF(crimenes_cordoba_ampliado[[#This Row],[Género Delincuente]]="Femenino","🚺","🚹")</f>
        <v>🚺</v>
      </c>
      <c r="O649">
        <v>2</v>
      </c>
      <c r="P649" s="1">
        <v>18249</v>
      </c>
      <c r="Q649" s="7">
        <f>INT((crimenes_cordoba_ampliado[[#This Row],[Fecha]]-crimenes_cordoba_ampliado[[#This Row],[Fecha Nac. Víctima]])/365)</f>
        <v>71</v>
      </c>
      <c r="R649" s="7" t="str">
        <f>_xlfn.XLOOKUP(crimenes_cordoba_ampliado[[#This Row],[EDAD VICTIMA]],'Rango etareo'!$A$2:$A$25,'Rango etareo'!$B$2:$B$25,,-1)</f>
        <v>&gt;65</v>
      </c>
      <c r="S649" s="3" t="s">
        <v>21</v>
      </c>
      <c r="T649" s="3" t="str">
        <f>IF(crimenes_cordoba_ampliado[[#This Row],[Género Víctima]]="Masculino","🚹","🚺")</f>
        <v>🚺</v>
      </c>
      <c r="U649">
        <v>3</v>
      </c>
      <c r="V649" s="3" t="s">
        <v>23</v>
      </c>
      <c r="W649" s="3" t="s">
        <v>24</v>
      </c>
      <c r="X649" s="3" t="s">
        <v>24</v>
      </c>
      <c r="Y649" s="3" t="s">
        <v>43</v>
      </c>
      <c r="Z649" s="3" t="s">
        <v>25</v>
      </c>
      <c r="AA649" s="3" t="s">
        <v>25</v>
      </c>
      <c r="AB649" s="3" t="str">
        <f>IF(crimenes_cordoba_ampliado[[#This Row],[Hubo Arresto]]="Sí", "Resuelto", "Pendiente")</f>
        <v>Resuelto</v>
      </c>
      <c r="AC649" s="3" t="s">
        <v>243</v>
      </c>
      <c r="AD649" s="3"/>
    </row>
    <row r="650" spans="1:30" x14ac:dyDescent="0.25">
      <c r="A650">
        <v>321</v>
      </c>
      <c r="B650" s="1">
        <v>44435</v>
      </c>
      <c r="C650" s="33">
        <f t="shared" si="20"/>
        <v>44435</v>
      </c>
      <c r="D650" s="34">
        <f t="shared" si="21"/>
        <v>44435</v>
      </c>
      <c r="E650" s="35" t="s">
        <v>1455</v>
      </c>
      <c r="F650" s="2">
        <v>0.78263888888888888</v>
      </c>
      <c r="G650" s="3" t="s">
        <v>48</v>
      </c>
      <c r="H650" s="3" t="s">
        <v>65</v>
      </c>
      <c r="I650" s="25" t="str">
        <f>VLOOKUP(H650,Tabla5[#All],4,FALSE)</f>
        <v>-31,4285567311661, -64,1853198281007</v>
      </c>
      <c r="J650" s="1">
        <v>28106</v>
      </c>
      <c r="K650" s="7">
        <f>INT((crimenes_cordoba_ampliado[[#This Row],[Fecha]]-crimenes_cordoba_ampliado[[#This Row],[Fecha Nac. Delincuente]])/365)</f>
        <v>44</v>
      </c>
      <c r="L650" s="7" t="str">
        <f>_xlfn.XLOOKUP(crimenes_cordoba_ampliado[[#This Row],[EDAD DELINCUENTE]],'Rango etareo'!$A$10:$A$25,'Rango etareo'!$B$10:$B$25,,-1)</f>
        <v>36 - 45</v>
      </c>
      <c r="M650" s="3" t="s">
        <v>22</v>
      </c>
      <c r="N650" s="3" t="str">
        <f>IF(crimenes_cordoba_ampliado[[#This Row],[Género Delincuente]]="Femenino","🚺","🚹")</f>
        <v>🚹</v>
      </c>
      <c r="O650">
        <v>2</v>
      </c>
      <c r="P650" s="1">
        <v>23583</v>
      </c>
      <c r="Q650" s="7">
        <f>INT((crimenes_cordoba_ampliado[[#This Row],[Fecha]]-crimenes_cordoba_ampliado[[#This Row],[Fecha Nac. Víctima]])/365)</f>
        <v>57</v>
      </c>
      <c r="R650" s="7" t="str">
        <f>_xlfn.XLOOKUP(crimenes_cordoba_ampliado[[#This Row],[EDAD VICTIMA]],'Rango etareo'!$A$2:$A$25,'Rango etareo'!$B$2:$B$25,,-1)</f>
        <v>56 - 65</v>
      </c>
      <c r="S650" s="3" t="s">
        <v>22</v>
      </c>
      <c r="T650" s="3" t="str">
        <f>IF(crimenes_cordoba_ampliado[[#This Row],[Género Víctima]]="Masculino","🚹","🚺")</f>
        <v>🚹</v>
      </c>
      <c r="U650">
        <v>2</v>
      </c>
      <c r="V650" s="3" t="s">
        <v>25</v>
      </c>
      <c r="W650" s="3" t="s">
        <v>24</v>
      </c>
      <c r="X650" s="3" t="s">
        <v>24</v>
      </c>
      <c r="Y650" s="3" t="s">
        <v>80</v>
      </c>
      <c r="Z650" s="3" t="s">
        <v>23</v>
      </c>
      <c r="AA650" s="3" t="s">
        <v>23</v>
      </c>
      <c r="AB650" s="3" t="str">
        <f>IF(crimenes_cordoba_ampliado[[#This Row],[Hubo Arresto]]="Sí", "Resuelto", "Pendiente")</f>
        <v>Pendiente</v>
      </c>
      <c r="AC650" s="3" t="s">
        <v>24</v>
      </c>
      <c r="AD650" s="3"/>
    </row>
    <row r="651" spans="1:30" x14ac:dyDescent="0.25">
      <c r="A651">
        <v>640</v>
      </c>
      <c r="B651" s="1">
        <v>45419</v>
      </c>
      <c r="C651" s="33">
        <f t="shared" si="20"/>
        <v>45419</v>
      </c>
      <c r="D651" s="34">
        <f t="shared" si="21"/>
        <v>45419</v>
      </c>
      <c r="E651" s="35" t="s">
        <v>1453</v>
      </c>
      <c r="F651" s="2">
        <v>0.28819444444444442</v>
      </c>
      <c r="G651" s="3" t="s">
        <v>51</v>
      </c>
      <c r="H651" s="3" t="s">
        <v>49</v>
      </c>
      <c r="I651" s="25" t="str">
        <f>VLOOKUP(H651,Tabla5[#All],4,FALSE)</f>
        <v>-31,4506257494184, -64,1733054344705</v>
      </c>
      <c r="J651" s="1">
        <v>35336</v>
      </c>
      <c r="K651" s="7">
        <f>INT((crimenes_cordoba_ampliado[[#This Row],[Fecha]]-crimenes_cordoba_ampliado[[#This Row],[Fecha Nac. Delincuente]])/365)</f>
        <v>27</v>
      </c>
      <c r="L651" s="7" t="str">
        <f>_xlfn.XLOOKUP(crimenes_cordoba_ampliado[[#This Row],[EDAD DELINCUENTE]],'Rango etareo'!$A$10:$A$25,'Rango etareo'!$B$10:$B$25,,-1)</f>
        <v>26 - 35</v>
      </c>
      <c r="M651" s="3" t="s">
        <v>21</v>
      </c>
      <c r="N651" s="3" t="str">
        <f>IF(crimenes_cordoba_ampliado[[#This Row],[Género Delincuente]]="Femenino","🚺","🚹")</f>
        <v>🚺</v>
      </c>
      <c r="O651">
        <v>2</v>
      </c>
      <c r="P651" s="1">
        <v>41798</v>
      </c>
      <c r="Q651" s="7">
        <f>INT((crimenes_cordoba_ampliado[[#This Row],[Fecha]]-crimenes_cordoba_ampliado[[#This Row],[Fecha Nac. Víctima]])/365)</f>
        <v>9</v>
      </c>
      <c r="R651" s="7" t="str">
        <f>_xlfn.XLOOKUP(crimenes_cordoba_ampliado[[#This Row],[EDAD VICTIMA]],'Rango etareo'!$A$2:$A$25,'Rango etareo'!$B$2:$B$25,,-1)</f>
        <v>&lt;=17</v>
      </c>
      <c r="S651" s="3" t="s">
        <v>22</v>
      </c>
      <c r="T651" s="3" t="str">
        <f>IF(crimenes_cordoba_ampliado[[#This Row],[Género Víctima]]="Masculino","🚹","🚺")</f>
        <v>🚹</v>
      </c>
      <c r="U651">
        <v>3</v>
      </c>
      <c r="V651" s="3" t="s">
        <v>23</v>
      </c>
      <c r="W651" s="3" t="s">
        <v>24</v>
      </c>
      <c r="X651" s="3" t="s">
        <v>24</v>
      </c>
      <c r="Y651" s="3" t="s">
        <v>53</v>
      </c>
      <c r="Z651" s="3" t="s">
        <v>25</v>
      </c>
      <c r="AA651" s="3" t="s">
        <v>23</v>
      </c>
      <c r="AB651" s="3" t="str">
        <f>IF(crimenes_cordoba_ampliado[[#This Row],[Hubo Arresto]]="Sí", "Resuelto", "Pendiente")</f>
        <v>Resuelto</v>
      </c>
      <c r="AC651" s="3" t="s">
        <v>131</v>
      </c>
      <c r="AD651" s="3"/>
    </row>
    <row r="652" spans="1:30" x14ac:dyDescent="0.25">
      <c r="A652">
        <v>643</v>
      </c>
      <c r="B652" s="1">
        <v>44610</v>
      </c>
      <c r="C652" s="33">
        <f t="shared" si="20"/>
        <v>44610</v>
      </c>
      <c r="D652" s="34">
        <f t="shared" si="21"/>
        <v>44610</v>
      </c>
      <c r="E652" s="35" t="s">
        <v>1455</v>
      </c>
      <c r="F652" s="2">
        <v>0.18958333333333333</v>
      </c>
      <c r="G652" s="3" t="s">
        <v>48</v>
      </c>
      <c r="H652" s="3" t="s">
        <v>55</v>
      </c>
      <c r="I652" s="25" t="str">
        <f>VLOOKUP(H652,Tabla5[#All],4,FALSE)</f>
        <v>-31,4015892433235, -64,160442876477</v>
      </c>
      <c r="J652" s="1">
        <v>19586</v>
      </c>
      <c r="K652" s="7">
        <f>INT((crimenes_cordoba_ampliado[[#This Row],[Fecha]]-crimenes_cordoba_ampliado[[#This Row],[Fecha Nac. Delincuente]])/365)</f>
        <v>68</v>
      </c>
      <c r="L652" s="7" t="str">
        <f>_xlfn.XLOOKUP(crimenes_cordoba_ampliado[[#This Row],[EDAD DELINCUENTE]],'Rango etareo'!$A$10:$A$25,'Rango etareo'!$B$10:$B$25,,-1)</f>
        <v>&gt;65</v>
      </c>
      <c r="M652" s="3" t="s">
        <v>22</v>
      </c>
      <c r="N652" s="3" t="str">
        <f>IF(crimenes_cordoba_ampliado[[#This Row],[Género Delincuente]]="Femenino","🚺","🚹")</f>
        <v>🚹</v>
      </c>
      <c r="O652">
        <v>5</v>
      </c>
      <c r="P652" s="1">
        <v>18310</v>
      </c>
      <c r="Q652" s="7">
        <f>INT((crimenes_cordoba_ampliado[[#This Row],[Fecha]]-crimenes_cordoba_ampliado[[#This Row],[Fecha Nac. Víctima]])/365)</f>
        <v>72</v>
      </c>
      <c r="R652" s="7" t="str">
        <f>_xlfn.XLOOKUP(crimenes_cordoba_ampliado[[#This Row],[EDAD VICTIMA]],'Rango etareo'!$A$2:$A$25,'Rango etareo'!$B$2:$B$25,,-1)</f>
        <v>&gt;65</v>
      </c>
      <c r="S652" s="3" t="s">
        <v>22</v>
      </c>
      <c r="T652" s="3" t="str">
        <f>IF(crimenes_cordoba_ampliado[[#This Row],[Género Víctima]]="Masculino","🚹","🚺")</f>
        <v>🚹</v>
      </c>
      <c r="U652">
        <v>1</v>
      </c>
      <c r="V652" s="3" t="s">
        <v>23</v>
      </c>
      <c r="W652" s="3" t="s">
        <v>24</v>
      </c>
      <c r="X652" s="3" t="s">
        <v>29</v>
      </c>
      <c r="Y652" s="3" t="s">
        <v>24</v>
      </c>
      <c r="Z652" s="3" t="s">
        <v>25</v>
      </c>
      <c r="AA652" s="3" t="s">
        <v>23</v>
      </c>
      <c r="AB652" s="3" t="str">
        <f>IF(crimenes_cordoba_ampliado[[#This Row],[Hubo Arresto]]="Sí", "Resuelto", "Pendiente")</f>
        <v>Resuelto</v>
      </c>
      <c r="AC652" s="3" t="s">
        <v>244</v>
      </c>
      <c r="AD652" s="3"/>
    </row>
    <row r="653" spans="1:30" x14ac:dyDescent="0.25">
      <c r="A653">
        <v>255</v>
      </c>
      <c r="B653" s="1">
        <v>44445</v>
      </c>
      <c r="C653" s="33">
        <f t="shared" si="20"/>
        <v>44445</v>
      </c>
      <c r="D653" s="34">
        <f t="shared" si="21"/>
        <v>44445</v>
      </c>
      <c r="E653" s="35" t="s">
        <v>1452</v>
      </c>
      <c r="F653" s="2">
        <v>0.78402777777777777</v>
      </c>
      <c r="G653" s="3" t="s">
        <v>54</v>
      </c>
      <c r="H653" s="3" t="s">
        <v>49</v>
      </c>
      <c r="I653" s="25" t="str">
        <f>VLOOKUP(H653,Tabla5[#All],4,FALSE)</f>
        <v>-31,4506257494184, -64,1733054344705</v>
      </c>
      <c r="J653" s="1">
        <v>20966</v>
      </c>
      <c r="K653" s="7">
        <f>INT((crimenes_cordoba_ampliado[[#This Row],[Fecha]]-crimenes_cordoba_ampliado[[#This Row],[Fecha Nac. Delincuente]])/365)</f>
        <v>64</v>
      </c>
      <c r="L653" s="7" t="str">
        <f>_xlfn.XLOOKUP(crimenes_cordoba_ampliado[[#This Row],[EDAD DELINCUENTE]],'Rango etareo'!$A$10:$A$25,'Rango etareo'!$B$10:$B$25,,-1)</f>
        <v>56 - 65</v>
      </c>
      <c r="M653" s="3" t="s">
        <v>21</v>
      </c>
      <c r="N653" s="3" t="str">
        <f>IF(crimenes_cordoba_ampliado[[#This Row],[Género Delincuente]]="Femenino","🚺","🚹")</f>
        <v>🚺</v>
      </c>
      <c r="O653">
        <v>2</v>
      </c>
      <c r="P653" s="1">
        <v>18024</v>
      </c>
      <c r="Q653" s="7">
        <f>INT((crimenes_cordoba_ampliado[[#This Row],[Fecha]]-crimenes_cordoba_ampliado[[#This Row],[Fecha Nac. Víctima]])/365)</f>
        <v>72</v>
      </c>
      <c r="R653" s="7" t="str">
        <f>_xlfn.XLOOKUP(crimenes_cordoba_ampliado[[#This Row],[EDAD VICTIMA]],'Rango etareo'!$A$2:$A$25,'Rango etareo'!$B$2:$B$25,,-1)</f>
        <v>&gt;65</v>
      </c>
      <c r="S653" s="3" t="s">
        <v>21</v>
      </c>
      <c r="T653" s="3" t="str">
        <f>IF(crimenes_cordoba_ampliado[[#This Row],[Género Víctima]]="Masculino","🚹","🚺")</f>
        <v>🚺</v>
      </c>
      <c r="U653">
        <v>2</v>
      </c>
      <c r="V653" s="3" t="s">
        <v>25</v>
      </c>
      <c r="W653" s="3" t="s">
        <v>24</v>
      </c>
      <c r="X653" s="3" t="s">
        <v>24</v>
      </c>
      <c r="Y653" s="3" t="s">
        <v>46</v>
      </c>
      <c r="Z653" s="3" t="s">
        <v>25</v>
      </c>
      <c r="AA653" s="3" t="s">
        <v>25</v>
      </c>
      <c r="AB653" s="3" t="str">
        <f>IF(crimenes_cordoba_ampliado[[#This Row],[Hubo Arresto]]="Sí", "Resuelto", "Pendiente")</f>
        <v>Pendiente</v>
      </c>
      <c r="AC653" s="3" t="s">
        <v>24</v>
      </c>
      <c r="AD653" s="3"/>
    </row>
    <row r="654" spans="1:30" x14ac:dyDescent="0.25">
      <c r="A654">
        <v>766</v>
      </c>
      <c r="B654" s="1">
        <v>44446</v>
      </c>
      <c r="C654" s="33">
        <f t="shared" si="20"/>
        <v>44446</v>
      </c>
      <c r="D654" s="34">
        <f t="shared" si="21"/>
        <v>44446</v>
      </c>
      <c r="E654" s="35" t="s">
        <v>1453</v>
      </c>
      <c r="F654" s="2">
        <v>0.72916666666666663</v>
      </c>
      <c r="G654" s="3" t="s">
        <v>19</v>
      </c>
      <c r="H654" s="3" t="s">
        <v>62</v>
      </c>
      <c r="I654" s="25" t="str">
        <f>VLOOKUP(H654,Tabla5[#All],4,FALSE)</f>
        <v>-31,3909520937826, -64,1836424491715</v>
      </c>
      <c r="J654" s="1">
        <v>22739</v>
      </c>
      <c r="K654" s="7">
        <f>INT((crimenes_cordoba_ampliado[[#This Row],[Fecha]]-crimenes_cordoba_ampliado[[#This Row],[Fecha Nac. Delincuente]])/365)</f>
        <v>59</v>
      </c>
      <c r="L654" s="7" t="str">
        <f>_xlfn.XLOOKUP(crimenes_cordoba_ampliado[[#This Row],[EDAD DELINCUENTE]],'Rango etareo'!$A$10:$A$25,'Rango etareo'!$B$10:$B$25,,-1)</f>
        <v>56 - 65</v>
      </c>
      <c r="M654" s="3" t="s">
        <v>21</v>
      </c>
      <c r="N654" s="3" t="str">
        <f>IF(crimenes_cordoba_ampliado[[#This Row],[Género Delincuente]]="Femenino","🚺","🚹")</f>
        <v>🚺</v>
      </c>
      <c r="O654">
        <v>3</v>
      </c>
      <c r="P654" s="1">
        <v>35681</v>
      </c>
      <c r="Q654" s="7">
        <f>INT((crimenes_cordoba_ampliado[[#This Row],[Fecha]]-crimenes_cordoba_ampliado[[#This Row],[Fecha Nac. Víctima]])/365)</f>
        <v>24</v>
      </c>
      <c r="R654" s="7" t="str">
        <f>_xlfn.XLOOKUP(crimenes_cordoba_ampliado[[#This Row],[EDAD VICTIMA]],'Rango etareo'!$A$2:$A$25,'Rango etareo'!$B$2:$B$25,,-1)</f>
        <v>18 - 25</v>
      </c>
      <c r="S654" s="3" t="s">
        <v>21</v>
      </c>
      <c r="T654" s="3" t="str">
        <f>IF(crimenes_cordoba_ampliado[[#This Row],[Género Víctima]]="Masculino","🚹","🚺")</f>
        <v>🚺</v>
      </c>
      <c r="U654">
        <v>2</v>
      </c>
      <c r="V654" s="3" t="s">
        <v>25</v>
      </c>
      <c r="W654" s="3" t="s">
        <v>24</v>
      </c>
      <c r="X654" s="3" t="s">
        <v>24</v>
      </c>
      <c r="Y654" s="3" t="s">
        <v>53</v>
      </c>
      <c r="Z654" s="3" t="s">
        <v>25</v>
      </c>
      <c r="AA654" s="3" t="s">
        <v>25</v>
      </c>
      <c r="AB654" s="3" t="str">
        <f>IF(crimenes_cordoba_ampliado[[#This Row],[Hubo Arresto]]="Sí", "Resuelto", "Pendiente")</f>
        <v>Pendiente</v>
      </c>
      <c r="AC654" s="3" t="s">
        <v>24</v>
      </c>
      <c r="AD654" s="3"/>
    </row>
    <row r="655" spans="1:30" x14ac:dyDescent="0.25">
      <c r="A655">
        <v>644</v>
      </c>
      <c r="B655" s="1">
        <v>44706</v>
      </c>
      <c r="C655" s="33">
        <f t="shared" si="20"/>
        <v>44706</v>
      </c>
      <c r="D655" s="34">
        <f t="shared" si="21"/>
        <v>44706</v>
      </c>
      <c r="E655" s="35" t="s">
        <v>1450</v>
      </c>
      <c r="F655" s="2">
        <v>0.67986111111111114</v>
      </c>
      <c r="G655" s="3" t="s">
        <v>81</v>
      </c>
      <c r="H655" s="3" t="s">
        <v>49</v>
      </c>
      <c r="I655" s="25" t="str">
        <f>VLOOKUP(H655,Tabla5[#All],4,FALSE)</f>
        <v>-31,4506257494184, -64,1733054344705</v>
      </c>
      <c r="J655" s="1">
        <v>35538</v>
      </c>
      <c r="K655" s="7">
        <f>INT((crimenes_cordoba_ampliado[[#This Row],[Fecha]]-crimenes_cordoba_ampliado[[#This Row],[Fecha Nac. Delincuente]])/365)</f>
        <v>25</v>
      </c>
      <c r="L655" s="7" t="str">
        <f>_xlfn.XLOOKUP(crimenes_cordoba_ampliado[[#This Row],[EDAD DELINCUENTE]],'Rango etareo'!$A$10:$A$25,'Rango etareo'!$B$10:$B$25,,-1)</f>
        <v>18 - 25</v>
      </c>
      <c r="M655" s="3" t="s">
        <v>22</v>
      </c>
      <c r="N655" s="3" t="str">
        <f>IF(crimenes_cordoba_ampliado[[#This Row],[Género Delincuente]]="Femenino","🚺","🚹")</f>
        <v>🚹</v>
      </c>
      <c r="O655">
        <v>4</v>
      </c>
      <c r="P655" s="1">
        <v>14963</v>
      </c>
      <c r="Q655" s="7">
        <f>INT((crimenes_cordoba_ampliado[[#This Row],[Fecha]]-crimenes_cordoba_ampliado[[#This Row],[Fecha Nac. Víctima]])/365)</f>
        <v>81</v>
      </c>
      <c r="R655" s="7" t="str">
        <f>_xlfn.XLOOKUP(crimenes_cordoba_ampliado[[#This Row],[EDAD VICTIMA]],'Rango etareo'!$A$2:$A$25,'Rango etareo'!$B$2:$B$25,,-1)</f>
        <v>&gt;65</v>
      </c>
      <c r="S655" s="3" t="s">
        <v>22</v>
      </c>
      <c r="T655" s="3" t="str">
        <f>IF(crimenes_cordoba_ampliado[[#This Row],[Género Víctima]]="Masculino","🚹","🚺")</f>
        <v>🚹</v>
      </c>
      <c r="U655">
        <v>2</v>
      </c>
      <c r="V655" s="3" t="s">
        <v>23</v>
      </c>
      <c r="W655" s="3" t="s">
        <v>24</v>
      </c>
      <c r="X655" s="3" t="s">
        <v>24</v>
      </c>
      <c r="Y655" s="3" t="s">
        <v>39</v>
      </c>
      <c r="Z655" s="3" t="s">
        <v>25</v>
      </c>
      <c r="AA655" s="3" t="s">
        <v>25</v>
      </c>
      <c r="AB655" s="3" t="str">
        <f>IF(crimenes_cordoba_ampliado[[#This Row],[Hubo Arresto]]="Sí", "Resuelto", "Pendiente")</f>
        <v>Resuelto</v>
      </c>
      <c r="AC655" s="3" t="s">
        <v>282</v>
      </c>
      <c r="AD655" s="3"/>
    </row>
    <row r="656" spans="1:30" x14ac:dyDescent="0.25">
      <c r="A656">
        <v>232</v>
      </c>
      <c r="B656" s="1">
        <v>44450</v>
      </c>
      <c r="C656" s="33">
        <f t="shared" si="20"/>
        <v>44450</v>
      </c>
      <c r="D656" s="34">
        <f t="shared" si="21"/>
        <v>44450</v>
      </c>
      <c r="E656" s="35" t="s">
        <v>1451</v>
      </c>
      <c r="F656" s="2">
        <v>3.5416666666666666E-2</v>
      </c>
      <c r="G656" s="3" t="s">
        <v>31</v>
      </c>
      <c r="H656" s="3" t="s">
        <v>40</v>
      </c>
      <c r="I656" s="25" t="str">
        <f>VLOOKUP(H656,Tabla5[#All],4,FALSE)</f>
        <v>-31,334500143441, -64,2460773260564</v>
      </c>
      <c r="J656" s="1">
        <v>19140</v>
      </c>
      <c r="K656" s="7">
        <f>INT((crimenes_cordoba_ampliado[[#This Row],[Fecha]]-crimenes_cordoba_ampliado[[#This Row],[Fecha Nac. Delincuente]])/365)</f>
        <v>69</v>
      </c>
      <c r="L656" s="7" t="str">
        <f>_xlfn.XLOOKUP(crimenes_cordoba_ampliado[[#This Row],[EDAD DELINCUENTE]],'Rango etareo'!$A$10:$A$25,'Rango etareo'!$B$10:$B$25,,-1)</f>
        <v>&gt;65</v>
      </c>
      <c r="M656" s="3" t="s">
        <v>21</v>
      </c>
      <c r="N656" s="3" t="str">
        <f>IF(crimenes_cordoba_ampliado[[#This Row],[Género Delincuente]]="Femenino","🚺","🚹")</f>
        <v>🚺</v>
      </c>
      <c r="O656">
        <v>2</v>
      </c>
      <c r="P656" s="1">
        <v>28073</v>
      </c>
      <c r="Q656" s="7">
        <f>INT((crimenes_cordoba_ampliado[[#This Row],[Fecha]]-crimenes_cordoba_ampliado[[#This Row],[Fecha Nac. Víctima]])/365)</f>
        <v>44</v>
      </c>
      <c r="R656" s="7" t="str">
        <f>_xlfn.XLOOKUP(crimenes_cordoba_ampliado[[#This Row],[EDAD VICTIMA]],'Rango etareo'!$A$2:$A$25,'Rango etareo'!$B$2:$B$25,,-1)</f>
        <v>36 - 45</v>
      </c>
      <c r="S656" s="3" t="s">
        <v>21</v>
      </c>
      <c r="T656" s="3" t="str">
        <f>IF(crimenes_cordoba_ampliado[[#This Row],[Género Víctima]]="Masculino","🚹","🚺")</f>
        <v>🚺</v>
      </c>
      <c r="U656">
        <v>3</v>
      </c>
      <c r="V656" s="3" t="s">
        <v>25</v>
      </c>
      <c r="W656" s="3" t="s">
        <v>24</v>
      </c>
      <c r="X656" s="3" t="s">
        <v>67</v>
      </c>
      <c r="Y656" s="3" t="s">
        <v>24</v>
      </c>
      <c r="Z656" s="3" t="s">
        <v>23</v>
      </c>
      <c r="AA656" s="3" t="s">
        <v>25</v>
      </c>
      <c r="AB656" s="3" t="str">
        <f>IF(crimenes_cordoba_ampliado[[#This Row],[Hubo Arresto]]="Sí", "Resuelto", "Pendiente")</f>
        <v>Pendiente</v>
      </c>
      <c r="AC656" s="3" t="s">
        <v>24</v>
      </c>
      <c r="AD656" s="3"/>
    </row>
    <row r="657" spans="1:30" x14ac:dyDescent="0.25">
      <c r="A657">
        <v>378</v>
      </c>
      <c r="B657" s="1">
        <v>44460</v>
      </c>
      <c r="C657" s="33">
        <f t="shared" si="20"/>
        <v>44460</v>
      </c>
      <c r="D657" s="34">
        <f t="shared" si="21"/>
        <v>44460</v>
      </c>
      <c r="E657" s="35" t="s">
        <v>1453</v>
      </c>
      <c r="F657" s="2">
        <v>0.99375000000000002</v>
      </c>
      <c r="G657" s="3" t="s">
        <v>81</v>
      </c>
      <c r="H657" s="3" t="s">
        <v>28</v>
      </c>
      <c r="I657" s="25" t="str">
        <f>VLOOKUP(H657,Tabla5[#All],4,FALSE)</f>
        <v>-31,4129883640337, -64,1681120522587</v>
      </c>
      <c r="J657" s="1">
        <v>22115</v>
      </c>
      <c r="K657" s="7">
        <f>INT((crimenes_cordoba_ampliado[[#This Row],[Fecha]]-crimenes_cordoba_ampliado[[#This Row],[Fecha Nac. Delincuente]])/365)</f>
        <v>61</v>
      </c>
      <c r="L657" s="7" t="str">
        <f>_xlfn.XLOOKUP(crimenes_cordoba_ampliado[[#This Row],[EDAD DELINCUENTE]],'Rango etareo'!$A$10:$A$25,'Rango etareo'!$B$10:$B$25,,-1)</f>
        <v>56 - 65</v>
      </c>
      <c r="M657" s="3" t="s">
        <v>21</v>
      </c>
      <c r="N657" s="3" t="str">
        <f>IF(crimenes_cordoba_ampliado[[#This Row],[Género Delincuente]]="Femenino","🚺","🚹")</f>
        <v>🚺</v>
      </c>
      <c r="O657">
        <v>5</v>
      </c>
      <c r="P657" s="1">
        <v>40295</v>
      </c>
      <c r="Q657" s="7">
        <f>INT((crimenes_cordoba_ampliado[[#This Row],[Fecha]]-crimenes_cordoba_ampliado[[#This Row],[Fecha Nac. Víctima]])/365)</f>
        <v>11</v>
      </c>
      <c r="R657" s="7" t="str">
        <f>_xlfn.XLOOKUP(crimenes_cordoba_ampliado[[#This Row],[EDAD VICTIMA]],'Rango etareo'!$A$2:$A$25,'Rango etareo'!$B$2:$B$25,,-1)</f>
        <v>&lt;=17</v>
      </c>
      <c r="S657" s="3" t="s">
        <v>22</v>
      </c>
      <c r="T657" s="3" t="str">
        <f>IF(crimenes_cordoba_ampliado[[#This Row],[Género Víctima]]="Masculino","🚹","🚺")</f>
        <v>🚹</v>
      </c>
      <c r="U657">
        <v>1</v>
      </c>
      <c r="V657" s="3" t="s">
        <v>25</v>
      </c>
      <c r="W657" s="3" t="s">
        <v>63</v>
      </c>
      <c r="X657" s="3" t="s">
        <v>41</v>
      </c>
      <c r="Y657" s="3" t="s">
        <v>24</v>
      </c>
      <c r="Z657" s="3" t="s">
        <v>25</v>
      </c>
      <c r="AA657" s="3" t="s">
        <v>23</v>
      </c>
      <c r="AB657" s="3" t="str">
        <f>IF(crimenes_cordoba_ampliado[[#This Row],[Hubo Arresto]]="Sí", "Resuelto", "Pendiente")</f>
        <v>Pendiente</v>
      </c>
      <c r="AC657" s="3" t="s">
        <v>24</v>
      </c>
      <c r="AD657" s="3"/>
    </row>
    <row r="658" spans="1:30" x14ac:dyDescent="0.25">
      <c r="A658">
        <v>994</v>
      </c>
      <c r="B658" s="1">
        <v>44465</v>
      </c>
      <c r="C658" s="33">
        <f t="shared" si="20"/>
        <v>44465</v>
      </c>
      <c r="D658" s="34">
        <f t="shared" si="21"/>
        <v>44465</v>
      </c>
      <c r="E658" s="35" t="s">
        <v>1449</v>
      </c>
      <c r="F658" s="2">
        <v>0.5131944444444444</v>
      </c>
      <c r="G658" s="3" t="s">
        <v>45</v>
      </c>
      <c r="H658" s="3" t="s">
        <v>52</v>
      </c>
      <c r="I658" s="25" t="str">
        <f>VLOOKUP(H658,Tabla5[#All],4,FALSE)</f>
        <v>-31,3477902896523, -64,2644406169297</v>
      </c>
      <c r="J658" s="1">
        <v>32236</v>
      </c>
      <c r="K658" s="7">
        <f>INT((crimenes_cordoba_ampliado[[#This Row],[Fecha]]-crimenes_cordoba_ampliado[[#This Row],[Fecha Nac. Delincuente]])/365)</f>
        <v>33</v>
      </c>
      <c r="L658" s="7" t="str">
        <f>_xlfn.XLOOKUP(crimenes_cordoba_ampliado[[#This Row],[EDAD DELINCUENTE]],'Rango etareo'!$A$10:$A$25,'Rango etareo'!$B$10:$B$25,,-1)</f>
        <v>26 - 35</v>
      </c>
      <c r="M658" s="3" t="s">
        <v>21</v>
      </c>
      <c r="N658" s="3" t="str">
        <f>IF(crimenes_cordoba_ampliado[[#This Row],[Género Delincuente]]="Femenino","🚺","🚹")</f>
        <v>🚺</v>
      </c>
      <c r="O658">
        <v>5</v>
      </c>
      <c r="P658" s="1">
        <v>38042</v>
      </c>
      <c r="Q658" s="7">
        <f>INT((crimenes_cordoba_ampliado[[#This Row],[Fecha]]-crimenes_cordoba_ampliado[[#This Row],[Fecha Nac. Víctima]])/365)</f>
        <v>17</v>
      </c>
      <c r="R658" s="7" t="str">
        <f>_xlfn.XLOOKUP(crimenes_cordoba_ampliado[[#This Row],[EDAD VICTIMA]],'Rango etareo'!$A$2:$A$25,'Rango etareo'!$B$2:$B$25,,-1)</f>
        <v>&lt;=17</v>
      </c>
      <c r="S658" s="3" t="s">
        <v>21</v>
      </c>
      <c r="T658" s="3" t="str">
        <f>IF(crimenes_cordoba_ampliado[[#This Row],[Género Víctima]]="Masculino","🚹","🚺")</f>
        <v>🚺</v>
      </c>
      <c r="U658">
        <v>1</v>
      </c>
      <c r="V658" s="3" t="s">
        <v>25</v>
      </c>
      <c r="W658" s="3" t="s">
        <v>24</v>
      </c>
      <c r="X658" s="3" t="s">
        <v>24</v>
      </c>
      <c r="Y658" s="3" t="s">
        <v>72</v>
      </c>
      <c r="Z658" s="3" t="s">
        <v>25</v>
      </c>
      <c r="AA658" s="3" t="s">
        <v>23</v>
      </c>
      <c r="AB658" s="3" t="str">
        <f>IF(crimenes_cordoba_ampliado[[#This Row],[Hubo Arresto]]="Sí", "Resuelto", "Pendiente")</f>
        <v>Pendiente</v>
      </c>
      <c r="AC658" s="3" t="s">
        <v>24</v>
      </c>
      <c r="AD658" s="3"/>
    </row>
    <row r="659" spans="1:30" x14ac:dyDescent="0.25">
      <c r="A659">
        <v>349</v>
      </c>
      <c r="B659" s="1">
        <v>44468</v>
      </c>
      <c r="C659" s="33">
        <f t="shared" si="20"/>
        <v>44468</v>
      </c>
      <c r="D659" s="34">
        <f t="shared" si="21"/>
        <v>44468</v>
      </c>
      <c r="E659" s="35" t="s">
        <v>1450</v>
      </c>
      <c r="F659" s="2">
        <v>0.87083333333333335</v>
      </c>
      <c r="G659" s="3" t="s">
        <v>38</v>
      </c>
      <c r="H659" s="3" t="s">
        <v>49</v>
      </c>
      <c r="I659" s="25" t="str">
        <f>VLOOKUP(H659,Tabla5[#All],4,FALSE)</f>
        <v>-31,4506257494184, -64,1733054344705</v>
      </c>
      <c r="J659" s="1">
        <v>22861</v>
      </c>
      <c r="K659" s="7">
        <f>INT((crimenes_cordoba_ampliado[[#This Row],[Fecha]]-crimenes_cordoba_ampliado[[#This Row],[Fecha Nac. Delincuente]])/365)</f>
        <v>59</v>
      </c>
      <c r="L659" s="7" t="str">
        <f>_xlfn.XLOOKUP(crimenes_cordoba_ampliado[[#This Row],[EDAD DELINCUENTE]],'Rango etareo'!$A$10:$A$25,'Rango etareo'!$B$10:$B$25,,-1)</f>
        <v>56 - 65</v>
      </c>
      <c r="M659" s="3" t="s">
        <v>22</v>
      </c>
      <c r="N659" s="3" t="str">
        <f>IF(crimenes_cordoba_ampliado[[#This Row],[Género Delincuente]]="Femenino","🚺","🚹")</f>
        <v>🚹</v>
      </c>
      <c r="O659">
        <v>2</v>
      </c>
      <c r="P659" s="1">
        <v>25797</v>
      </c>
      <c r="Q659" s="7">
        <f>INT((crimenes_cordoba_ampliado[[#This Row],[Fecha]]-crimenes_cordoba_ampliado[[#This Row],[Fecha Nac. Víctima]])/365)</f>
        <v>51</v>
      </c>
      <c r="R659" s="7" t="str">
        <f>_xlfn.XLOOKUP(crimenes_cordoba_ampliado[[#This Row],[EDAD VICTIMA]],'Rango etareo'!$A$2:$A$25,'Rango etareo'!$B$2:$B$25,,-1)</f>
        <v>46 - 55</v>
      </c>
      <c r="S659" s="3" t="s">
        <v>22</v>
      </c>
      <c r="T659" s="3" t="str">
        <f>IF(crimenes_cordoba_ampliado[[#This Row],[Género Víctima]]="Masculino","🚹","🚺")</f>
        <v>🚹</v>
      </c>
      <c r="U659">
        <v>1</v>
      </c>
      <c r="V659" s="3" t="s">
        <v>25</v>
      </c>
      <c r="W659" s="3" t="s">
        <v>36</v>
      </c>
      <c r="X659" s="3" t="s">
        <v>50</v>
      </c>
      <c r="Y659" s="3" t="s">
        <v>24</v>
      </c>
      <c r="Z659" s="3" t="s">
        <v>25</v>
      </c>
      <c r="AA659" s="3" t="s">
        <v>25</v>
      </c>
      <c r="AB659" s="3" t="str">
        <f>IF(crimenes_cordoba_ampliado[[#This Row],[Hubo Arresto]]="Sí", "Resuelto", "Pendiente")</f>
        <v>Pendiente</v>
      </c>
      <c r="AC659" s="3" t="s">
        <v>24</v>
      </c>
      <c r="AD659" s="3"/>
    </row>
    <row r="660" spans="1:30" x14ac:dyDescent="0.25">
      <c r="A660">
        <v>124</v>
      </c>
      <c r="B660" s="1">
        <v>44470</v>
      </c>
      <c r="C660" s="33">
        <f t="shared" si="20"/>
        <v>44470</v>
      </c>
      <c r="D660" s="34">
        <f t="shared" si="21"/>
        <v>44470</v>
      </c>
      <c r="E660" s="35" t="s">
        <v>1455</v>
      </c>
      <c r="F660" s="2">
        <v>0.65347222222222223</v>
      </c>
      <c r="G660" s="3" t="s">
        <v>81</v>
      </c>
      <c r="H660" s="3" t="s">
        <v>52</v>
      </c>
      <c r="I660" s="25" t="str">
        <f>VLOOKUP(H660,Tabla5[#All],4,FALSE)</f>
        <v>-31,3477902896523, -64,2644406169297</v>
      </c>
      <c r="J660" s="1">
        <v>31278</v>
      </c>
      <c r="K660" s="7">
        <f>INT((crimenes_cordoba_ampliado[[#This Row],[Fecha]]-crimenes_cordoba_ampliado[[#This Row],[Fecha Nac. Delincuente]])/365)</f>
        <v>36</v>
      </c>
      <c r="L660" s="7" t="str">
        <f>_xlfn.XLOOKUP(crimenes_cordoba_ampliado[[#This Row],[EDAD DELINCUENTE]],'Rango etareo'!$A$10:$A$25,'Rango etareo'!$B$10:$B$25,,-1)</f>
        <v>36 - 45</v>
      </c>
      <c r="M660" s="3" t="s">
        <v>22</v>
      </c>
      <c r="N660" s="3" t="str">
        <f>IF(crimenes_cordoba_ampliado[[#This Row],[Género Delincuente]]="Femenino","🚺","🚹")</f>
        <v>🚹</v>
      </c>
      <c r="O660">
        <v>2</v>
      </c>
      <c r="P660" s="1">
        <v>31763</v>
      </c>
      <c r="Q660" s="7">
        <f>INT((crimenes_cordoba_ampliado[[#This Row],[Fecha]]-crimenes_cordoba_ampliado[[#This Row],[Fecha Nac. Víctima]])/365)</f>
        <v>34</v>
      </c>
      <c r="R660" s="7" t="str">
        <f>_xlfn.XLOOKUP(crimenes_cordoba_ampliado[[#This Row],[EDAD VICTIMA]],'Rango etareo'!$A$2:$A$25,'Rango etareo'!$B$2:$B$25,,-1)</f>
        <v>26 - 35</v>
      </c>
      <c r="S660" s="3" t="s">
        <v>21</v>
      </c>
      <c r="T660" s="3" t="str">
        <f>IF(crimenes_cordoba_ampliado[[#This Row],[Género Víctima]]="Masculino","🚹","🚺")</f>
        <v>🚺</v>
      </c>
      <c r="U660">
        <v>2</v>
      </c>
      <c r="V660" s="3" t="s">
        <v>25</v>
      </c>
      <c r="W660" s="3" t="s">
        <v>24</v>
      </c>
      <c r="X660" s="3" t="s">
        <v>24</v>
      </c>
      <c r="Y660" s="3" t="s">
        <v>39</v>
      </c>
      <c r="Z660" s="3" t="s">
        <v>23</v>
      </c>
      <c r="AA660" s="3" t="s">
        <v>23</v>
      </c>
      <c r="AB660" s="3" t="str">
        <f>IF(crimenes_cordoba_ampliado[[#This Row],[Hubo Arresto]]="Sí", "Resuelto", "Pendiente")</f>
        <v>Pendiente</v>
      </c>
      <c r="AC660" s="3" t="s">
        <v>24</v>
      </c>
      <c r="AD660" s="3"/>
    </row>
    <row r="661" spans="1:30" x14ac:dyDescent="0.25">
      <c r="A661">
        <v>646</v>
      </c>
      <c r="B661" s="1">
        <v>42326</v>
      </c>
      <c r="C661" s="33">
        <f t="shared" si="20"/>
        <v>42326</v>
      </c>
      <c r="D661" s="34">
        <f t="shared" si="21"/>
        <v>42326</v>
      </c>
      <c r="E661" s="35" t="s">
        <v>1450</v>
      </c>
      <c r="F661" s="2">
        <v>0.86111111111111116</v>
      </c>
      <c r="G661" s="3" t="s">
        <v>19</v>
      </c>
      <c r="H661" s="3" t="s">
        <v>28</v>
      </c>
      <c r="I661" s="25" t="str">
        <f>VLOOKUP(H661,Tabla5[#All],4,FALSE)</f>
        <v>-31,4129883640337, -64,1681120522587</v>
      </c>
      <c r="J661" s="1">
        <v>34135</v>
      </c>
      <c r="K661" s="7">
        <f>INT((crimenes_cordoba_ampliado[[#This Row],[Fecha]]-crimenes_cordoba_ampliado[[#This Row],[Fecha Nac. Delincuente]])/365)</f>
        <v>22</v>
      </c>
      <c r="L661" s="7" t="str">
        <f>_xlfn.XLOOKUP(crimenes_cordoba_ampliado[[#This Row],[EDAD DELINCUENTE]],'Rango etareo'!$A$10:$A$25,'Rango etareo'!$B$10:$B$25,,-1)</f>
        <v>18 - 25</v>
      </c>
      <c r="M661" s="3" t="s">
        <v>21</v>
      </c>
      <c r="N661" s="3" t="str">
        <f>IF(crimenes_cordoba_ampliado[[#This Row],[Género Delincuente]]="Femenino","🚺","🚹")</f>
        <v>🚺</v>
      </c>
      <c r="O661">
        <v>4</v>
      </c>
      <c r="P661" s="1">
        <v>24800</v>
      </c>
      <c r="Q661" s="7">
        <f>INT((crimenes_cordoba_ampliado[[#This Row],[Fecha]]-crimenes_cordoba_ampliado[[#This Row],[Fecha Nac. Víctima]])/365)</f>
        <v>48</v>
      </c>
      <c r="R661" s="7" t="str">
        <f>_xlfn.XLOOKUP(crimenes_cordoba_ampliado[[#This Row],[EDAD VICTIMA]],'Rango etareo'!$A$2:$A$25,'Rango etareo'!$B$2:$B$25,,-1)</f>
        <v>46 - 55</v>
      </c>
      <c r="S661" s="3" t="s">
        <v>22</v>
      </c>
      <c r="T661" s="3" t="str">
        <f>IF(crimenes_cordoba_ampliado[[#This Row],[Género Víctima]]="Masculino","🚹","🚺")</f>
        <v>🚹</v>
      </c>
      <c r="U661">
        <v>1</v>
      </c>
      <c r="V661" s="3" t="s">
        <v>23</v>
      </c>
      <c r="W661" s="3" t="s">
        <v>36</v>
      </c>
      <c r="X661" s="3" t="s">
        <v>29</v>
      </c>
      <c r="Y661" s="3" t="s">
        <v>24</v>
      </c>
      <c r="Z661" s="3" t="s">
        <v>23</v>
      </c>
      <c r="AA661" s="3" t="s">
        <v>25</v>
      </c>
      <c r="AB661" s="3" t="str">
        <f>IF(crimenes_cordoba_ampliado[[#This Row],[Hubo Arresto]]="Sí", "Resuelto", "Pendiente")</f>
        <v>Resuelto</v>
      </c>
      <c r="AC661" s="3" t="s">
        <v>257</v>
      </c>
      <c r="AD661" s="3"/>
    </row>
    <row r="662" spans="1:30" x14ac:dyDescent="0.25">
      <c r="A662">
        <v>51</v>
      </c>
      <c r="B662" s="1">
        <v>44474</v>
      </c>
      <c r="C662" s="33">
        <f t="shared" si="20"/>
        <v>44474</v>
      </c>
      <c r="D662" s="34">
        <f t="shared" si="21"/>
        <v>44474</v>
      </c>
      <c r="E662" s="35" t="s">
        <v>1453</v>
      </c>
      <c r="F662" s="2">
        <v>0.96666666666666667</v>
      </c>
      <c r="G662" s="3" t="s">
        <v>38</v>
      </c>
      <c r="H662" s="3" t="s">
        <v>52</v>
      </c>
      <c r="I662" s="25" t="str">
        <f>VLOOKUP(H662,Tabla5[#All],4,FALSE)</f>
        <v>-31,3477902896523, -64,2644406169297</v>
      </c>
      <c r="J662" s="1">
        <v>30337</v>
      </c>
      <c r="K662" s="7">
        <f>INT((crimenes_cordoba_ampliado[[#This Row],[Fecha]]-crimenes_cordoba_ampliado[[#This Row],[Fecha Nac. Delincuente]])/365)</f>
        <v>38</v>
      </c>
      <c r="L662" s="7" t="str">
        <f>_xlfn.XLOOKUP(crimenes_cordoba_ampliado[[#This Row],[EDAD DELINCUENTE]],'Rango etareo'!$A$10:$A$25,'Rango etareo'!$B$10:$B$25,,-1)</f>
        <v>36 - 45</v>
      </c>
      <c r="M662" s="3" t="s">
        <v>22</v>
      </c>
      <c r="N662" s="3" t="str">
        <f>IF(crimenes_cordoba_ampliado[[#This Row],[Género Delincuente]]="Femenino","🚺","🚹")</f>
        <v>🚹</v>
      </c>
      <c r="O662">
        <v>2</v>
      </c>
      <c r="P662" s="1">
        <v>37473</v>
      </c>
      <c r="Q662" s="7">
        <f>INT((crimenes_cordoba_ampliado[[#This Row],[Fecha]]-crimenes_cordoba_ampliado[[#This Row],[Fecha Nac. Víctima]])/365)</f>
        <v>19</v>
      </c>
      <c r="R662" s="7" t="str">
        <f>_xlfn.XLOOKUP(crimenes_cordoba_ampliado[[#This Row],[EDAD VICTIMA]],'Rango etareo'!$A$2:$A$25,'Rango etareo'!$B$2:$B$25,,-1)</f>
        <v>18 - 25</v>
      </c>
      <c r="S662" s="3" t="s">
        <v>22</v>
      </c>
      <c r="T662" s="3" t="str">
        <f>IF(crimenes_cordoba_ampliado[[#This Row],[Género Víctima]]="Masculino","🚹","🚺")</f>
        <v>🚹</v>
      </c>
      <c r="U662">
        <v>2</v>
      </c>
      <c r="V662" s="3" t="s">
        <v>25</v>
      </c>
      <c r="W662" s="3" t="s">
        <v>24</v>
      </c>
      <c r="X662" s="3" t="s">
        <v>24</v>
      </c>
      <c r="Y662" s="3" t="s">
        <v>98</v>
      </c>
      <c r="Z662" s="3" t="s">
        <v>23</v>
      </c>
      <c r="AA662" s="3" t="s">
        <v>25</v>
      </c>
      <c r="AB662" s="3" t="str">
        <f>IF(crimenes_cordoba_ampliado[[#This Row],[Hubo Arresto]]="Sí", "Resuelto", "Pendiente")</f>
        <v>Pendiente</v>
      </c>
      <c r="AC662" s="3" t="s">
        <v>24</v>
      </c>
      <c r="AD662" s="3"/>
    </row>
    <row r="663" spans="1:30" x14ac:dyDescent="0.25">
      <c r="A663">
        <v>370</v>
      </c>
      <c r="B663" s="1">
        <v>44475</v>
      </c>
      <c r="C663" s="33">
        <f t="shared" si="20"/>
        <v>44475</v>
      </c>
      <c r="D663" s="34">
        <f t="shared" si="21"/>
        <v>44475</v>
      </c>
      <c r="E663" s="35" t="s">
        <v>1450</v>
      </c>
      <c r="F663" s="2">
        <v>0.66319444444444442</v>
      </c>
      <c r="G663" s="3" t="s">
        <v>48</v>
      </c>
      <c r="H663" s="3" t="s">
        <v>70</v>
      </c>
      <c r="I663" s="25" t="str">
        <f>VLOOKUP(H663,Tabla5[#All],4,FALSE)</f>
        <v>-31,3759272890294, -64,2284587792478</v>
      </c>
      <c r="J663" s="1">
        <v>37642</v>
      </c>
      <c r="K663" s="7">
        <f>INT((crimenes_cordoba_ampliado[[#This Row],[Fecha]]-crimenes_cordoba_ampliado[[#This Row],[Fecha Nac. Delincuente]])/365)</f>
        <v>18</v>
      </c>
      <c r="L663" s="7" t="str">
        <f>_xlfn.XLOOKUP(crimenes_cordoba_ampliado[[#This Row],[EDAD DELINCUENTE]],'Rango etareo'!$A$10:$A$25,'Rango etareo'!$B$10:$B$25,,-1)</f>
        <v>18 - 25</v>
      </c>
      <c r="M663" s="3" t="s">
        <v>21</v>
      </c>
      <c r="N663" s="3" t="str">
        <f>IF(crimenes_cordoba_ampliado[[#This Row],[Género Delincuente]]="Femenino","🚺","🚹")</f>
        <v>🚺</v>
      </c>
      <c r="O663">
        <v>5</v>
      </c>
      <c r="P663" s="1">
        <v>20291</v>
      </c>
      <c r="Q663" s="7">
        <f>INT((crimenes_cordoba_ampliado[[#This Row],[Fecha]]-crimenes_cordoba_ampliado[[#This Row],[Fecha Nac. Víctima]])/365)</f>
        <v>66</v>
      </c>
      <c r="R663" s="7" t="str">
        <f>_xlfn.XLOOKUP(crimenes_cordoba_ampliado[[#This Row],[EDAD VICTIMA]],'Rango etareo'!$A$2:$A$25,'Rango etareo'!$B$2:$B$25,,-1)</f>
        <v>&gt;65</v>
      </c>
      <c r="S663" s="3" t="s">
        <v>21</v>
      </c>
      <c r="T663" s="3" t="str">
        <f>IF(crimenes_cordoba_ampliado[[#This Row],[Género Víctima]]="Masculino","🚹","🚺")</f>
        <v>🚺</v>
      </c>
      <c r="U663">
        <v>3</v>
      </c>
      <c r="V663" s="3" t="s">
        <v>25</v>
      </c>
      <c r="W663" s="3" t="s">
        <v>24</v>
      </c>
      <c r="X663" s="3" t="s">
        <v>24</v>
      </c>
      <c r="Y663" s="3" t="s">
        <v>53</v>
      </c>
      <c r="Z663" s="3" t="s">
        <v>23</v>
      </c>
      <c r="AA663" s="3" t="s">
        <v>25</v>
      </c>
      <c r="AB663" s="3" t="str">
        <f>IF(crimenes_cordoba_ampliado[[#This Row],[Hubo Arresto]]="Sí", "Resuelto", "Pendiente")</f>
        <v>Pendiente</v>
      </c>
      <c r="AC663" s="3" t="s">
        <v>24</v>
      </c>
      <c r="AD663" s="3"/>
    </row>
    <row r="664" spans="1:30" x14ac:dyDescent="0.25">
      <c r="A664">
        <v>938</v>
      </c>
      <c r="B664" s="1">
        <v>44485</v>
      </c>
      <c r="C664" s="33">
        <f t="shared" si="20"/>
        <v>44485</v>
      </c>
      <c r="D664" s="34">
        <f t="shared" si="21"/>
        <v>44485</v>
      </c>
      <c r="E664" s="35" t="s">
        <v>1451</v>
      </c>
      <c r="F664" s="2">
        <v>0.8833333333333333</v>
      </c>
      <c r="G664" s="3" t="s">
        <v>81</v>
      </c>
      <c r="H664" s="3" t="s">
        <v>28</v>
      </c>
      <c r="I664" s="25" t="str">
        <f>VLOOKUP(H664,Tabla5[#All],4,FALSE)</f>
        <v>-31,4129883640337, -64,1681120522587</v>
      </c>
      <c r="J664" s="1">
        <v>21905</v>
      </c>
      <c r="K664" s="7">
        <f>INT((crimenes_cordoba_ampliado[[#This Row],[Fecha]]-crimenes_cordoba_ampliado[[#This Row],[Fecha Nac. Delincuente]])/365)</f>
        <v>61</v>
      </c>
      <c r="L664" s="7" t="str">
        <f>_xlfn.XLOOKUP(crimenes_cordoba_ampliado[[#This Row],[EDAD DELINCUENTE]],'Rango etareo'!$A$10:$A$25,'Rango etareo'!$B$10:$B$25,,-1)</f>
        <v>56 - 65</v>
      </c>
      <c r="M664" s="3" t="s">
        <v>22</v>
      </c>
      <c r="N664" s="3" t="str">
        <f>IF(crimenes_cordoba_ampliado[[#This Row],[Género Delincuente]]="Femenino","🚺","🚹")</f>
        <v>🚹</v>
      </c>
      <c r="O664">
        <v>2</v>
      </c>
      <c r="P664" s="1">
        <v>16180</v>
      </c>
      <c r="Q664" s="7">
        <f>INT((crimenes_cordoba_ampliado[[#This Row],[Fecha]]-crimenes_cordoba_ampliado[[#This Row],[Fecha Nac. Víctima]])/365)</f>
        <v>77</v>
      </c>
      <c r="R664" s="7" t="str">
        <f>_xlfn.XLOOKUP(crimenes_cordoba_ampliado[[#This Row],[EDAD VICTIMA]],'Rango etareo'!$A$2:$A$25,'Rango etareo'!$B$2:$B$25,,-1)</f>
        <v>&gt;65</v>
      </c>
      <c r="S664" s="3" t="s">
        <v>22</v>
      </c>
      <c r="T664" s="3" t="str">
        <f>IF(crimenes_cordoba_ampliado[[#This Row],[Género Víctima]]="Masculino","🚹","🚺")</f>
        <v>🚹</v>
      </c>
      <c r="U664">
        <v>2</v>
      </c>
      <c r="V664" s="3" t="s">
        <v>25</v>
      </c>
      <c r="W664" s="3" t="s">
        <v>24</v>
      </c>
      <c r="X664" s="3" t="s">
        <v>24</v>
      </c>
      <c r="Y664" s="3" t="s">
        <v>98</v>
      </c>
      <c r="Z664" s="3" t="s">
        <v>23</v>
      </c>
      <c r="AA664" s="3" t="s">
        <v>23</v>
      </c>
      <c r="AB664" s="3" t="str">
        <f>IF(crimenes_cordoba_ampliado[[#This Row],[Hubo Arresto]]="Sí", "Resuelto", "Pendiente")</f>
        <v>Pendiente</v>
      </c>
      <c r="AC664" s="3" t="s">
        <v>24</v>
      </c>
      <c r="AD664" s="3"/>
    </row>
    <row r="665" spans="1:30" x14ac:dyDescent="0.25">
      <c r="A665">
        <v>624</v>
      </c>
      <c r="B665" s="1">
        <v>44489</v>
      </c>
      <c r="C665" s="33">
        <f t="shared" si="20"/>
        <v>44489</v>
      </c>
      <c r="D665" s="34">
        <f t="shared" si="21"/>
        <v>44489</v>
      </c>
      <c r="E665" s="35" t="s">
        <v>1450</v>
      </c>
      <c r="F665" s="2">
        <v>0.9243055555555556</v>
      </c>
      <c r="G665" s="3" t="s">
        <v>79</v>
      </c>
      <c r="H665" s="3" t="s">
        <v>70</v>
      </c>
      <c r="I665" s="25" t="str">
        <f>VLOOKUP(H665,Tabla5[#All],4,FALSE)</f>
        <v>-31,3759272890294, -64,2284587792478</v>
      </c>
      <c r="J665" s="1">
        <v>29235</v>
      </c>
      <c r="K665" s="7">
        <f>INT((crimenes_cordoba_ampliado[[#This Row],[Fecha]]-crimenes_cordoba_ampliado[[#This Row],[Fecha Nac. Delincuente]])/365)</f>
        <v>41</v>
      </c>
      <c r="L665" s="7" t="str">
        <f>_xlfn.XLOOKUP(crimenes_cordoba_ampliado[[#This Row],[EDAD DELINCUENTE]],'Rango etareo'!$A$10:$A$25,'Rango etareo'!$B$10:$B$25,,-1)</f>
        <v>36 - 45</v>
      </c>
      <c r="M665" s="3" t="s">
        <v>21</v>
      </c>
      <c r="N665" s="3" t="str">
        <f>IF(crimenes_cordoba_ampliado[[#This Row],[Género Delincuente]]="Femenino","🚺","🚹")</f>
        <v>🚺</v>
      </c>
      <c r="O665">
        <v>1</v>
      </c>
      <c r="P665" s="1">
        <v>41714</v>
      </c>
      <c r="Q665" s="7">
        <f>INT((crimenes_cordoba_ampliado[[#This Row],[Fecha]]-crimenes_cordoba_ampliado[[#This Row],[Fecha Nac. Víctima]])/365)</f>
        <v>7</v>
      </c>
      <c r="R665" s="7" t="str">
        <f>_xlfn.XLOOKUP(crimenes_cordoba_ampliado[[#This Row],[EDAD VICTIMA]],'Rango etareo'!$A$2:$A$25,'Rango etareo'!$B$2:$B$25,,-1)</f>
        <v>&lt;=17</v>
      </c>
      <c r="S665" s="3" t="s">
        <v>22</v>
      </c>
      <c r="T665" s="3" t="str">
        <f>IF(crimenes_cordoba_ampliado[[#This Row],[Género Víctima]]="Masculino","🚹","🚺")</f>
        <v>🚹</v>
      </c>
      <c r="U665">
        <v>1</v>
      </c>
      <c r="V665" s="3" t="s">
        <v>25</v>
      </c>
      <c r="W665" s="3" t="s">
        <v>63</v>
      </c>
      <c r="X665" s="3" t="s">
        <v>67</v>
      </c>
      <c r="Y665" s="3" t="s">
        <v>24</v>
      </c>
      <c r="Z665" s="3" t="s">
        <v>25</v>
      </c>
      <c r="AA665" s="3" t="s">
        <v>25</v>
      </c>
      <c r="AB665" s="3" t="str">
        <f>IF(crimenes_cordoba_ampliado[[#This Row],[Hubo Arresto]]="Sí", "Resuelto", "Pendiente")</f>
        <v>Pendiente</v>
      </c>
      <c r="AC665" s="3" t="s">
        <v>24</v>
      </c>
      <c r="AD665" s="3"/>
    </row>
    <row r="666" spans="1:30" x14ac:dyDescent="0.25">
      <c r="A666">
        <v>54</v>
      </c>
      <c r="B666" s="1">
        <v>44490</v>
      </c>
      <c r="C666" s="33">
        <f t="shared" si="20"/>
        <v>44490</v>
      </c>
      <c r="D666" s="34">
        <f t="shared" si="21"/>
        <v>44490</v>
      </c>
      <c r="E666" s="35" t="s">
        <v>1454</v>
      </c>
      <c r="F666" s="2">
        <v>0.94791666666666663</v>
      </c>
      <c r="G666" s="3" t="s">
        <v>54</v>
      </c>
      <c r="H666" s="3" t="s">
        <v>32</v>
      </c>
      <c r="I666" s="25" t="str">
        <f>VLOOKUP(H666,Tabla5[#All],4,FALSE)</f>
        <v>-31,4148488101991, -64,1793406489438</v>
      </c>
      <c r="J666" s="1">
        <v>20853</v>
      </c>
      <c r="K666" s="7">
        <f>INT((crimenes_cordoba_ampliado[[#This Row],[Fecha]]-crimenes_cordoba_ampliado[[#This Row],[Fecha Nac. Delincuente]])/365)</f>
        <v>64</v>
      </c>
      <c r="L666" s="7" t="str">
        <f>_xlfn.XLOOKUP(crimenes_cordoba_ampliado[[#This Row],[EDAD DELINCUENTE]],'Rango etareo'!$A$10:$A$25,'Rango etareo'!$B$10:$B$25,,-1)</f>
        <v>56 - 65</v>
      </c>
      <c r="M666" s="3" t="s">
        <v>21</v>
      </c>
      <c r="N666" s="3" t="str">
        <f>IF(crimenes_cordoba_ampliado[[#This Row],[Género Delincuente]]="Femenino","🚺","🚹")</f>
        <v>🚺</v>
      </c>
      <c r="O666">
        <v>5</v>
      </c>
      <c r="P666" s="1">
        <v>33400</v>
      </c>
      <c r="Q666" s="7">
        <f>INT((crimenes_cordoba_ampliado[[#This Row],[Fecha]]-crimenes_cordoba_ampliado[[#This Row],[Fecha Nac. Víctima]])/365)</f>
        <v>30</v>
      </c>
      <c r="R666" s="7" t="str">
        <f>_xlfn.XLOOKUP(crimenes_cordoba_ampliado[[#This Row],[EDAD VICTIMA]],'Rango etareo'!$A$2:$A$25,'Rango etareo'!$B$2:$B$25,,-1)</f>
        <v>26 - 35</v>
      </c>
      <c r="S666" s="3" t="s">
        <v>21</v>
      </c>
      <c r="T666" s="3" t="str">
        <f>IF(crimenes_cordoba_ampliado[[#This Row],[Género Víctima]]="Masculino","🚹","🚺")</f>
        <v>🚺</v>
      </c>
      <c r="U666">
        <v>1</v>
      </c>
      <c r="V666" s="3" t="s">
        <v>25</v>
      </c>
      <c r="W666" s="3" t="s">
        <v>71</v>
      </c>
      <c r="X666" s="3" t="s">
        <v>24</v>
      </c>
      <c r="Y666" s="3" t="s">
        <v>77</v>
      </c>
      <c r="Z666" s="3" t="s">
        <v>25</v>
      </c>
      <c r="AA666" s="3" t="s">
        <v>23</v>
      </c>
      <c r="AB666" s="3" t="str">
        <f>IF(crimenes_cordoba_ampliado[[#This Row],[Hubo Arresto]]="Sí", "Resuelto", "Pendiente")</f>
        <v>Pendiente</v>
      </c>
      <c r="AC666" s="3" t="s">
        <v>24</v>
      </c>
      <c r="AD666" s="3"/>
    </row>
    <row r="667" spans="1:30" x14ac:dyDescent="0.25">
      <c r="A667">
        <v>650</v>
      </c>
      <c r="B667" s="1">
        <v>44490</v>
      </c>
      <c r="C667" s="33">
        <f t="shared" si="20"/>
        <v>44490</v>
      </c>
      <c r="D667" s="34">
        <f t="shared" si="21"/>
        <v>44490</v>
      </c>
      <c r="E667" s="35" t="s">
        <v>1454</v>
      </c>
      <c r="F667" s="2">
        <v>0.82777777777777772</v>
      </c>
      <c r="G667" s="3" t="s">
        <v>42</v>
      </c>
      <c r="H667" s="3" t="s">
        <v>70</v>
      </c>
      <c r="I667" s="25" t="str">
        <f>VLOOKUP(H667,Tabla5[#All],4,FALSE)</f>
        <v>-31,3759272890294, -64,2284587792478</v>
      </c>
      <c r="J667" s="1">
        <v>25559</v>
      </c>
      <c r="K667" s="7">
        <f>INT((crimenes_cordoba_ampliado[[#This Row],[Fecha]]-crimenes_cordoba_ampliado[[#This Row],[Fecha Nac. Delincuente]])/365)</f>
        <v>51</v>
      </c>
      <c r="L667" s="7" t="str">
        <f>_xlfn.XLOOKUP(crimenes_cordoba_ampliado[[#This Row],[EDAD DELINCUENTE]],'Rango etareo'!$A$10:$A$25,'Rango etareo'!$B$10:$B$25,,-1)</f>
        <v>46 - 55</v>
      </c>
      <c r="M667" s="3" t="s">
        <v>22</v>
      </c>
      <c r="N667" s="3" t="str">
        <f>IF(crimenes_cordoba_ampliado[[#This Row],[Género Delincuente]]="Femenino","🚺","🚹")</f>
        <v>🚹</v>
      </c>
      <c r="O667">
        <v>2</v>
      </c>
      <c r="P667" s="1">
        <v>37075</v>
      </c>
      <c r="Q667" s="7">
        <f>INT((crimenes_cordoba_ampliado[[#This Row],[Fecha]]-crimenes_cordoba_ampliado[[#This Row],[Fecha Nac. Víctima]])/365)</f>
        <v>20</v>
      </c>
      <c r="R667" s="7" t="str">
        <f>_xlfn.XLOOKUP(crimenes_cordoba_ampliado[[#This Row],[EDAD VICTIMA]],'Rango etareo'!$A$2:$A$25,'Rango etareo'!$B$2:$B$25,,-1)</f>
        <v>18 - 25</v>
      </c>
      <c r="S667" s="3" t="s">
        <v>21</v>
      </c>
      <c r="T667" s="3" t="str">
        <f>IF(crimenes_cordoba_ampliado[[#This Row],[Género Víctima]]="Masculino","🚹","🚺")</f>
        <v>🚺</v>
      </c>
      <c r="U667">
        <v>1</v>
      </c>
      <c r="V667" s="3" t="s">
        <v>23</v>
      </c>
      <c r="W667" s="3" t="s">
        <v>24</v>
      </c>
      <c r="X667" s="3" t="s">
        <v>24</v>
      </c>
      <c r="Y667" s="3" t="s">
        <v>80</v>
      </c>
      <c r="Z667" s="3" t="s">
        <v>25</v>
      </c>
      <c r="AA667" s="3" t="s">
        <v>23</v>
      </c>
      <c r="AB667" s="3" t="str">
        <f>IF(crimenes_cordoba_ampliado[[#This Row],[Hubo Arresto]]="Sí", "Resuelto", "Pendiente")</f>
        <v>Resuelto</v>
      </c>
      <c r="AC667" s="3" t="s">
        <v>197</v>
      </c>
      <c r="AD667" s="3"/>
    </row>
    <row r="668" spans="1:30" x14ac:dyDescent="0.25">
      <c r="A668">
        <v>852</v>
      </c>
      <c r="B668" s="1">
        <v>44490</v>
      </c>
      <c r="C668" s="33">
        <f t="shared" si="20"/>
        <v>44490</v>
      </c>
      <c r="D668" s="34">
        <f t="shared" si="21"/>
        <v>44490</v>
      </c>
      <c r="E668" s="35" t="s">
        <v>1454</v>
      </c>
      <c r="F668" s="2">
        <v>0.9145833333333333</v>
      </c>
      <c r="G668" s="3" t="s">
        <v>19</v>
      </c>
      <c r="H668" s="3" t="s">
        <v>62</v>
      </c>
      <c r="I668" s="25" t="str">
        <f>VLOOKUP(H668,Tabla5[#All],4,FALSE)</f>
        <v>-31,3909520937826, -64,1836424491715</v>
      </c>
      <c r="J668" s="1">
        <v>34445</v>
      </c>
      <c r="K668" s="7">
        <f>INT((crimenes_cordoba_ampliado[[#This Row],[Fecha]]-crimenes_cordoba_ampliado[[#This Row],[Fecha Nac. Delincuente]])/365)</f>
        <v>27</v>
      </c>
      <c r="L668" s="7" t="str">
        <f>_xlfn.XLOOKUP(crimenes_cordoba_ampliado[[#This Row],[EDAD DELINCUENTE]],'Rango etareo'!$A$10:$A$25,'Rango etareo'!$B$10:$B$25,,-1)</f>
        <v>26 - 35</v>
      </c>
      <c r="M668" s="3" t="s">
        <v>21</v>
      </c>
      <c r="N668" s="3" t="str">
        <f>IF(crimenes_cordoba_ampliado[[#This Row],[Género Delincuente]]="Femenino","🚺","🚹")</f>
        <v>🚺</v>
      </c>
      <c r="O668">
        <v>1</v>
      </c>
      <c r="P668" s="1">
        <v>15770</v>
      </c>
      <c r="Q668" s="7">
        <f>INT((crimenes_cordoba_ampliado[[#This Row],[Fecha]]-crimenes_cordoba_ampliado[[#This Row],[Fecha Nac. Víctima]])/365)</f>
        <v>78</v>
      </c>
      <c r="R668" s="7" t="str">
        <f>_xlfn.XLOOKUP(crimenes_cordoba_ampliado[[#This Row],[EDAD VICTIMA]],'Rango etareo'!$A$2:$A$25,'Rango etareo'!$B$2:$B$25,,-1)</f>
        <v>&gt;65</v>
      </c>
      <c r="S668" s="3" t="s">
        <v>22</v>
      </c>
      <c r="T668" s="3" t="str">
        <f>IF(crimenes_cordoba_ampliado[[#This Row],[Género Víctima]]="Masculino","🚹","🚺")</f>
        <v>🚹</v>
      </c>
      <c r="U668">
        <v>2</v>
      </c>
      <c r="V668" s="3" t="s">
        <v>25</v>
      </c>
      <c r="W668" s="3" t="s">
        <v>24</v>
      </c>
      <c r="X668" s="3" t="s">
        <v>24</v>
      </c>
      <c r="Y668" s="3" t="s">
        <v>98</v>
      </c>
      <c r="Z668" s="3" t="s">
        <v>25</v>
      </c>
      <c r="AA668" s="3" t="s">
        <v>25</v>
      </c>
      <c r="AB668" s="3" t="str">
        <f>IF(crimenes_cordoba_ampliado[[#This Row],[Hubo Arresto]]="Sí", "Resuelto", "Pendiente")</f>
        <v>Pendiente</v>
      </c>
      <c r="AC668" s="3" t="s">
        <v>24</v>
      </c>
      <c r="AD668" s="3"/>
    </row>
    <row r="669" spans="1:30" x14ac:dyDescent="0.25">
      <c r="A669">
        <v>651</v>
      </c>
      <c r="B669" s="1">
        <v>44051</v>
      </c>
      <c r="C669" s="33">
        <f t="shared" si="20"/>
        <v>44051</v>
      </c>
      <c r="D669" s="34">
        <f t="shared" si="21"/>
        <v>44051</v>
      </c>
      <c r="E669" s="35" t="s">
        <v>1451</v>
      </c>
      <c r="F669" s="2">
        <v>0.92222222222222228</v>
      </c>
      <c r="G669" s="3" t="s">
        <v>79</v>
      </c>
      <c r="H669" s="3" t="s">
        <v>60</v>
      </c>
      <c r="I669" s="25" t="str">
        <f>VLOOKUP(H669,Tabla5[#All],4,FALSE)</f>
        <v>-31,4076397196409, -64,2020170430678</v>
      </c>
      <c r="J669" s="1">
        <v>37765</v>
      </c>
      <c r="K669" s="7">
        <f>INT((crimenes_cordoba_ampliado[[#This Row],[Fecha]]-crimenes_cordoba_ampliado[[#This Row],[Fecha Nac. Delincuente]])/365)</f>
        <v>17</v>
      </c>
      <c r="L669" s="7" t="str">
        <f>_xlfn.XLOOKUP(crimenes_cordoba_ampliado[[#This Row],[EDAD DELINCUENTE]],'Rango etareo'!$A$10:$A$25,'Rango etareo'!$B$10:$B$25,,-1)</f>
        <v>&lt;=17</v>
      </c>
      <c r="M669" s="3" t="s">
        <v>21</v>
      </c>
      <c r="N669" s="3" t="str">
        <f>IF(crimenes_cordoba_ampliado[[#This Row],[Género Delincuente]]="Femenino","🚺","🚹")</f>
        <v>🚺</v>
      </c>
      <c r="O669">
        <v>2</v>
      </c>
      <c r="P669" s="1">
        <v>25501</v>
      </c>
      <c r="Q669" s="7">
        <f>INT((crimenes_cordoba_ampliado[[#This Row],[Fecha]]-crimenes_cordoba_ampliado[[#This Row],[Fecha Nac. Víctima]])/365)</f>
        <v>50</v>
      </c>
      <c r="R669" s="7" t="str">
        <f>_xlfn.XLOOKUP(crimenes_cordoba_ampliado[[#This Row],[EDAD VICTIMA]],'Rango etareo'!$A$2:$A$25,'Rango etareo'!$B$2:$B$25,,-1)</f>
        <v>46 - 55</v>
      </c>
      <c r="S669" s="3" t="s">
        <v>22</v>
      </c>
      <c r="T669" s="3" t="str">
        <f>IF(crimenes_cordoba_ampliado[[#This Row],[Género Víctima]]="Masculino","🚹","🚺")</f>
        <v>🚹</v>
      </c>
      <c r="U669">
        <v>2</v>
      </c>
      <c r="V669" s="3" t="s">
        <v>23</v>
      </c>
      <c r="W669" s="3" t="s">
        <v>24</v>
      </c>
      <c r="X669" s="3" t="s">
        <v>24</v>
      </c>
      <c r="Y669" s="3" t="s">
        <v>53</v>
      </c>
      <c r="Z669" s="3" t="s">
        <v>25</v>
      </c>
      <c r="AA669" s="3" t="s">
        <v>25</v>
      </c>
      <c r="AB669" s="3" t="str">
        <f>IF(crimenes_cordoba_ampliado[[#This Row],[Hubo Arresto]]="Sí", "Resuelto", "Pendiente")</f>
        <v>Resuelto</v>
      </c>
      <c r="AC669" s="3" t="s">
        <v>224</v>
      </c>
      <c r="AD669" s="3"/>
    </row>
    <row r="670" spans="1:30" x14ac:dyDescent="0.25">
      <c r="A670">
        <v>653</v>
      </c>
      <c r="B670" s="1">
        <v>42890</v>
      </c>
      <c r="C670" s="33">
        <f t="shared" si="20"/>
        <v>42890</v>
      </c>
      <c r="D670" s="34">
        <f t="shared" si="21"/>
        <v>42890</v>
      </c>
      <c r="E670" s="35" t="s">
        <v>1449</v>
      </c>
      <c r="F670" s="2">
        <v>0.69305555555555554</v>
      </c>
      <c r="G670" s="3" t="s">
        <v>48</v>
      </c>
      <c r="H670" s="3" t="s">
        <v>55</v>
      </c>
      <c r="I670" s="25" t="str">
        <f>VLOOKUP(H670,Tabla5[#All],4,FALSE)</f>
        <v>-31,4015892433235, -64,160442876477</v>
      </c>
      <c r="J670" s="1">
        <v>32065</v>
      </c>
      <c r="K670" s="7">
        <f>INT((crimenes_cordoba_ampliado[[#This Row],[Fecha]]-crimenes_cordoba_ampliado[[#This Row],[Fecha Nac. Delincuente]])/365)</f>
        <v>29</v>
      </c>
      <c r="L670" s="7" t="str">
        <f>_xlfn.XLOOKUP(crimenes_cordoba_ampliado[[#This Row],[EDAD DELINCUENTE]],'Rango etareo'!$A$10:$A$25,'Rango etareo'!$B$10:$B$25,,-1)</f>
        <v>26 - 35</v>
      </c>
      <c r="M670" s="3" t="s">
        <v>22</v>
      </c>
      <c r="N670" s="3" t="str">
        <f>IF(crimenes_cordoba_ampliado[[#This Row],[Género Delincuente]]="Femenino","🚺","🚹")</f>
        <v>🚹</v>
      </c>
      <c r="O670">
        <v>4</v>
      </c>
      <c r="P670" s="1">
        <v>40406</v>
      </c>
      <c r="Q670" s="7">
        <f>INT((crimenes_cordoba_ampliado[[#This Row],[Fecha]]-crimenes_cordoba_ampliado[[#This Row],[Fecha Nac. Víctima]])/365)</f>
        <v>6</v>
      </c>
      <c r="R670" s="7" t="str">
        <f>_xlfn.XLOOKUP(crimenes_cordoba_ampliado[[#This Row],[EDAD VICTIMA]],'Rango etareo'!$A$2:$A$25,'Rango etareo'!$B$2:$B$25,,-1)</f>
        <v>&lt;=17</v>
      </c>
      <c r="S670" s="3" t="s">
        <v>22</v>
      </c>
      <c r="T670" s="3" t="str">
        <f>IF(crimenes_cordoba_ampliado[[#This Row],[Género Víctima]]="Masculino","🚹","🚺")</f>
        <v>🚹</v>
      </c>
      <c r="U670">
        <v>3</v>
      </c>
      <c r="V670" s="3" t="s">
        <v>23</v>
      </c>
      <c r="W670" s="3" t="s">
        <v>24</v>
      </c>
      <c r="X670" s="3" t="s">
        <v>24</v>
      </c>
      <c r="Y670" s="3" t="s">
        <v>53</v>
      </c>
      <c r="Z670" s="3" t="s">
        <v>25</v>
      </c>
      <c r="AA670" s="3" t="s">
        <v>25</v>
      </c>
      <c r="AB670" s="3" t="str">
        <f>IF(crimenes_cordoba_ampliado[[#This Row],[Hubo Arresto]]="Sí", "Resuelto", "Pendiente")</f>
        <v>Resuelto</v>
      </c>
      <c r="AC670" s="3" t="s">
        <v>124</v>
      </c>
      <c r="AD670" s="3"/>
    </row>
    <row r="671" spans="1:30" x14ac:dyDescent="0.25">
      <c r="A671">
        <v>654</v>
      </c>
      <c r="B671" s="1">
        <v>43298</v>
      </c>
      <c r="C671" s="33">
        <f t="shared" si="20"/>
        <v>43298</v>
      </c>
      <c r="D671" s="34">
        <f t="shared" si="21"/>
        <v>43298</v>
      </c>
      <c r="E671" s="35" t="s">
        <v>1453</v>
      </c>
      <c r="F671" s="2">
        <v>0.8930555555555556</v>
      </c>
      <c r="G671" s="3" t="s">
        <v>45</v>
      </c>
      <c r="H671" s="3" t="s">
        <v>55</v>
      </c>
      <c r="I671" s="25" t="str">
        <f>VLOOKUP(H671,Tabla5[#All],4,FALSE)</f>
        <v>-31,4015892433235, -64,160442876477</v>
      </c>
      <c r="J671" s="1">
        <v>22935</v>
      </c>
      <c r="K671" s="7">
        <f>INT((crimenes_cordoba_ampliado[[#This Row],[Fecha]]-crimenes_cordoba_ampliado[[#This Row],[Fecha Nac. Delincuente]])/365)</f>
        <v>55</v>
      </c>
      <c r="L671" s="7" t="str">
        <f>_xlfn.XLOOKUP(crimenes_cordoba_ampliado[[#This Row],[EDAD DELINCUENTE]],'Rango etareo'!$A$10:$A$25,'Rango etareo'!$B$10:$B$25,,-1)</f>
        <v>46 - 55</v>
      </c>
      <c r="M671" s="3" t="s">
        <v>21</v>
      </c>
      <c r="N671" s="3" t="str">
        <f>IF(crimenes_cordoba_ampliado[[#This Row],[Género Delincuente]]="Femenino","🚺","🚹")</f>
        <v>🚺</v>
      </c>
      <c r="O671">
        <v>4</v>
      </c>
      <c r="P671" s="1">
        <v>25380</v>
      </c>
      <c r="Q671" s="7">
        <f>INT((crimenes_cordoba_ampliado[[#This Row],[Fecha]]-crimenes_cordoba_ampliado[[#This Row],[Fecha Nac. Víctima]])/365)</f>
        <v>49</v>
      </c>
      <c r="R671" s="7" t="str">
        <f>_xlfn.XLOOKUP(crimenes_cordoba_ampliado[[#This Row],[EDAD VICTIMA]],'Rango etareo'!$A$2:$A$25,'Rango etareo'!$B$2:$B$25,,-1)</f>
        <v>46 - 55</v>
      </c>
      <c r="S671" s="3" t="s">
        <v>22</v>
      </c>
      <c r="T671" s="3" t="str">
        <f>IF(crimenes_cordoba_ampliado[[#This Row],[Género Víctima]]="Masculino","🚹","🚺")</f>
        <v>🚹</v>
      </c>
      <c r="U671">
        <v>1</v>
      </c>
      <c r="V671" s="3" t="s">
        <v>23</v>
      </c>
      <c r="W671" s="3" t="s">
        <v>24</v>
      </c>
      <c r="X671" s="3" t="s">
        <v>24</v>
      </c>
      <c r="Y671" s="3" t="s">
        <v>24</v>
      </c>
      <c r="Z671" s="3" t="s">
        <v>25</v>
      </c>
      <c r="AA671" s="3" t="s">
        <v>25</v>
      </c>
      <c r="AB671" s="3" t="str">
        <f>IF(crimenes_cordoba_ampliado[[#This Row],[Hubo Arresto]]="Sí", "Resuelto", "Pendiente")</f>
        <v>Resuelto</v>
      </c>
      <c r="AC671" s="3" t="s">
        <v>283</v>
      </c>
      <c r="AD671" s="3"/>
    </row>
    <row r="672" spans="1:30" x14ac:dyDescent="0.25">
      <c r="A672">
        <v>351</v>
      </c>
      <c r="B672" s="1">
        <v>44498</v>
      </c>
      <c r="C672" s="33">
        <f t="shared" si="20"/>
        <v>44498</v>
      </c>
      <c r="D672" s="34">
        <f t="shared" si="21"/>
        <v>44498</v>
      </c>
      <c r="E672" s="35" t="s">
        <v>1455</v>
      </c>
      <c r="F672" s="2">
        <v>0.85763888888888884</v>
      </c>
      <c r="G672" s="3" t="s">
        <v>48</v>
      </c>
      <c r="H672" s="3" t="s">
        <v>70</v>
      </c>
      <c r="I672" s="25" t="str">
        <f>VLOOKUP(H672,Tabla5[#All],4,FALSE)</f>
        <v>-31,3759272890294, -64,2284587792478</v>
      </c>
      <c r="J672" s="1">
        <v>38906</v>
      </c>
      <c r="K672" s="7">
        <f>INT((crimenes_cordoba_ampliado[[#This Row],[Fecha]]-crimenes_cordoba_ampliado[[#This Row],[Fecha Nac. Delincuente]])/365)</f>
        <v>15</v>
      </c>
      <c r="L672" s="7" t="str">
        <f>_xlfn.XLOOKUP(crimenes_cordoba_ampliado[[#This Row],[EDAD DELINCUENTE]],'Rango etareo'!$A$10:$A$25,'Rango etareo'!$B$10:$B$25,,-1)</f>
        <v>&lt;=17</v>
      </c>
      <c r="M672" s="3" t="s">
        <v>21</v>
      </c>
      <c r="N672" s="3" t="str">
        <f>IF(crimenes_cordoba_ampliado[[#This Row],[Género Delincuente]]="Femenino","🚺","🚹")</f>
        <v>🚺</v>
      </c>
      <c r="O672">
        <v>4</v>
      </c>
      <c r="P672" s="1">
        <v>18162</v>
      </c>
      <c r="Q672" s="7">
        <f>INT((crimenes_cordoba_ampliado[[#This Row],[Fecha]]-crimenes_cordoba_ampliado[[#This Row],[Fecha Nac. Víctima]])/365)</f>
        <v>72</v>
      </c>
      <c r="R672" s="7" t="str">
        <f>_xlfn.XLOOKUP(crimenes_cordoba_ampliado[[#This Row],[EDAD VICTIMA]],'Rango etareo'!$A$2:$A$25,'Rango etareo'!$B$2:$B$25,,-1)</f>
        <v>&gt;65</v>
      </c>
      <c r="S672" s="3" t="s">
        <v>22</v>
      </c>
      <c r="T672" s="3" t="str">
        <f>IF(crimenes_cordoba_ampliado[[#This Row],[Género Víctima]]="Masculino","🚹","🚺")</f>
        <v>🚹</v>
      </c>
      <c r="U672">
        <v>2</v>
      </c>
      <c r="V672" s="3" t="s">
        <v>25</v>
      </c>
      <c r="W672" s="3" t="s">
        <v>24</v>
      </c>
      <c r="X672" s="3" t="s">
        <v>24</v>
      </c>
      <c r="Y672" s="3" t="s">
        <v>80</v>
      </c>
      <c r="Z672" s="3" t="s">
        <v>25</v>
      </c>
      <c r="AA672" s="3" t="s">
        <v>23</v>
      </c>
      <c r="AB672" s="3" t="str">
        <f>IF(crimenes_cordoba_ampliado[[#This Row],[Hubo Arresto]]="Sí", "Resuelto", "Pendiente")</f>
        <v>Pendiente</v>
      </c>
      <c r="AC672" s="3" t="s">
        <v>24</v>
      </c>
      <c r="AD672" s="3"/>
    </row>
    <row r="673" spans="1:30" x14ac:dyDescent="0.25">
      <c r="A673">
        <v>655</v>
      </c>
      <c r="B673" s="1">
        <v>44506</v>
      </c>
      <c r="C673" s="33">
        <f t="shared" si="20"/>
        <v>44506</v>
      </c>
      <c r="D673" s="34">
        <f t="shared" si="21"/>
        <v>44506</v>
      </c>
      <c r="E673" s="35" t="s">
        <v>1451</v>
      </c>
      <c r="F673" s="2">
        <v>0.60555555555555551</v>
      </c>
      <c r="G673" s="3" t="s">
        <v>51</v>
      </c>
      <c r="H673" s="3" t="s">
        <v>49</v>
      </c>
      <c r="I673" s="25" t="str">
        <f>VLOOKUP(H673,Tabla5[#All],4,FALSE)</f>
        <v>-31,4506257494184, -64,1733054344705</v>
      </c>
      <c r="J673" s="1">
        <v>31495</v>
      </c>
      <c r="K673" s="7">
        <f>INT((crimenes_cordoba_ampliado[[#This Row],[Fecha]]-crimenes_cordoba_ampliado[[#This Row],[Fecha Nac. Delincuente]])/365)</f>
        <v>35</v>
      </c>
      <c r="L673" s="7" t="str">
        <f>_xlfn.XLOOKUP(crimenes_cordoba_ampliado[[#This Row],[EDAD DELINCUENTE]],'Rango etareo'!$A$10:$A$25,'Rango etareo'!$B$10:$B$25,,-1)</f>
        <v>26 - 35</v>
      </c>
      <c r="M673" s="3" t="s">
        <v>22</v>
      </c>
      <c r="N673" s="3" t="str">
        <f>IF(crimenes_cordoba_ampliado[[#This Row],[Género Delincuente]]="Femenino","🚺","🚹")</f>
        <v>🚹</v>
      </c>
      <c r="O673">
        <v>5</v>
      </c>
      <c r="P673" s="1">
        <v>35270</v>
      </c>
      <c r="Q673" s="7">
        <f>INT((crimenes_cordoba_ampliado[[#This Row],[Fecha]]-crimenes_cordoba_ampliado[[#This Row],[Fecha Nac. Víctima]])/365)</f>
        <v>25</v>
      </c>
      <c r="R673" s="7" t="str">
        <f>_xlfn.XLOOKUP(crimenes_cordoba_ampliado[[#This Row],[EDAD VICTIMA]],'Rango etareo'!$A$2:$A$25,'Rango etareo'!$B$2:$B$25,,-1)</f>
        <v>18 - 25</v>
      </c>
      <c r="S673" s="3" t="s">
        <v>22</v>
      </c>
      <c r="T673" s="3" t="str">
        <f>IF(crimenes_cordoba_ampliado[[#This Row],[Género Víctima]]="Masculino","🚹","🚺")</f>
        <v>🚹</v>
      </c>
      <c r="U673">
        <v>2</v>
      </c>
      <c r="V673" s="3" t="s">
        <v>23</v>
      </c>
      <c r="W673" s="3" t="s">
        <v>24</v>
      </c>
      <c r="X673" s="3" t="s">
        <v>24</v>
      </c>
      <c r="Y673" s="3" t="s">
        <v>72</v>
      </c>
      <c r="Z673" s="3" t="s">
        <v>23</v>
      </c>
      <c r="AA673" s="3" t="s">
        <v>23</v>
      </c>
      <c r="AB673" s="3" t="str">
        <f>IF(crimenes_cordoba_ampliado[[#This Row],[Hubo Arresto]]="Sí", "Resuelto", "Pendiente")</f>
        <v>Resuelto</v>
      </c>
      <c r="AC673" s="3" t="s">
        <v>284</v>
      </c>
      <c r="AD673" s="3"/>
    </row>
    <row r="674" spans="1:30" x14ac:dyDescent="0.25">
      <c r="A674">
        <v>660</v>
      </c>
      <c r="B674" s="1">
        <v>44941</v>
      </c>
      <c r="C674" s="33">
        <f t="shared" si="20"/>
        <v>44941</v>
      </c>
      <c r="D674" s="34">
        <f t="shared" si="21"/>
        <v>44941</v>
      </c>
      <c r="E674" s="35" t="s">
        <v>1449</v>
      </c>
      <c r="F674" s="2">
        <v>0.8208333333333333</v>
      </c>
      <c r="G674" s="3" t="s">
        <v>35</v>
      </c>
      <c r="H674" s="3" t="s">
        <v>55</v>
      </c>
      <c r="I674" s="25" t="str">
        <f>VLOOKUP(H674,Tabla5[#All],4,FALSE)</f>
        <v>-31,4015892433235, -64,160442876477</v>
      </c>
      <c r="J674" s="1">
        <v>34300</v>
      </c>
      <c r="K674" s="7">
        <f>INT((crimenes_cordoba_ampliado[[#This Row],[Fecha]]-crimenes_cordoba_ampliado[[#This Row],[Fecha Nac. Delincuente]])/365)</f>
        <v>29</v>
      </c>
      <c r="L674" s="7" t="str">
        <f>_xlfn.XLOOKUP(crimenes_cordoba_ampliado[[#This Row],[EDAD DELINCUENTE]],'Rango etareo'!$A$10:$A$25,'Rango etareo'!$B$10:$B$25,,-1)</f>
        <v>26 - 35</v>
      </c>
      <c r="M674" s="3" t="s">
        <v>22</v>
      </c>
      <c r="N674" s="3" t="str">
        <f>IF(crimenes_cordoba_ampliado[[#This Row],[Género Delincuente]]="Femenino","🚺","🚹")</f>
        <v>🚹</v>
      </c>
      <c r="O674">
        <v>4</v>
      </c>
      <c r="P674" s="1">
        <v>17131</v>
      </c>
      <c r="Q674" s="7">
        <f>INT((crimenes_cordoba_ampliado[[#This Row],[Fecha]]-crimenes_cordoba_ampliado[[#This Row],[Fecha Nac. Víctima]])/365)</f>
        <v>76</v>
      </c>
      <c r="R674" s="7" t="str">
        <f>_xlfn.XLOOKUP(crimenes_cordoba_ampliado[[#This Row],[EDAD VICTIMA]],'Rango etareo'!$A$2:$A$25,'Rango etareo'!$B$2:$B$25,,-1)</f>
        <v>&gt;65</v>
      </c>
      <c r="S674" s="3" t="s">
        <v>21</v>
      </c>
      <c r="T674" s="3" t="str">
        <f>IF(crimenes_cordoba_ampliado[[#This Row],[Género Víctima]]="Masculino","🚹","🚺")</f>
        <v>🚺</v>
      </c>
      <c r="U674">
        <v>3</v>
      </c>
      <c r="V674" s="3" t="s">
        <v>23</v>
      </c>
      <c r="W674" s="3" t="s">
        <v>24</v>
      </c>
      <c r="X674" s="3" t="s">
        <v>24</v>
      </c>
      <c r="Y674" s="3" t="s">
        <v>53</v>
      </c>
      <c r="Z674" s="3" t="s">
        <v>25</v>
      </c>
      <c r="AA674" s="3" t="s">
        <v>25</v>
      </c>
      <c r="AB674" s="3" t="str">
        <f>IF(crimenes_cordoba_ampliado[[#This Row],[Hubo Arresto]]="Sí", "Resuelto", "Pendiente")</f>
        <v>Resuelto</v>
      </c>
      <c r="AC674" s="3" t="s">
        <v>142</v>
      </c>
      <c r="AD674" s="3"/>
    </row>
    <row r="675" spans="1:30" x14ac:dyDescent="0.25">
      <c r="A675">
        <v>661</v>
      </c>
      <c r="B675" s="1">
        <v>44192</v>
      </c>
      <c r="C675" s="33">
        <f t="shared" si="20"/>
        <v>44192</v>
      </c>
      <c r="D675" s="34">
        <f t="shared" si="21"/>
        <v>44192</v>
      </c>
      <c r="E675" s="35" t="s">
        <v>1449</v>
      </c>
      <c r="F675" s="2">
        <v>0.7006944444444444</v>
      </c>
      <c r="G675" s="3" t="s">
        <v>38</v>
      </c>
      <c r="H675" s="3" t="s">
        <v>52</v>
      </c>
      <c r="I675" s="25" t="str">
        <f>VLOOKUP(H675,Tabla5[#All],4,FALSE)</f>
        <v>-31,3477902896523, -64,2644406169297</v>
      </c>
      <c r="J675" s="1">
        <v>25315</v>
      </c>
      <c r="K675" s="7">
        <f>INT((crimenes_cordoba_ampliado[[#This Row],[Fecha]]-crimenes_cordoba_ampliado[[#This Row],[Fecha Nac. Delincuente]])/365)</f>
        <v>51</v>
      </c>
      <c r="L675" s="7" t="str">
        <f>_xlfn.XLOOKUP(crimenes_cordoba_ampliado[[#This Row],[EDAD DELINCUENTE]],'Rango etareo'!$A$10:$A$25,'Rango etareo'!$B$10:$B$25,,-1)</f>
        <v>46 - 55</v>
      </c>
      <c r="M675" s="3" t="s">
        <v>21</v>
      </c>
      <c r="N675" s="3" t="str">
        <f>IF(crimenes_cordoba_ampliado[[#This Row],[Género Delincuente]]="Femenino","🚺","🚹")</f>
        <v>🚺</v>
      </c>
      <c r="O675">
        <v>1</v>
      </c>
      <c r="P675" s="1">
        <v>33349</v>
      </c>
      <c r="Q675" s="7">
        <f>INT((crimenes_cordoba_ampliado[[#This Row],[Fecha]]-crimenes_cordoba_ampliado[[#This Row],[Fecha Nac. Víctima]])/365)</f>
        <v>29</v>
      </c>
      <c r="R675" s="7" t="str">
        <f>_xlfn.XLOOKUP(crimenes_cordoba_ampliado[[#This Row],[EDAD VICTIMA]],'Rango etareo'!$A$2:$A$25,'Rango etareo'!$B$2:$B$25,,-1)</f>
        <v>26 - 35</v>
      </c>
      <c r="S675" s="3" t="s">
        <v>22</v>
      </c>
      <c r="T675" s="3" t="str">
        <f>IF(crimenes_cordoba_ampliado[[#This Row],[Género Víctima]]="Masculino","🚹","🚺")</f>
        <v>🚹</v>
      </c>
      <c r="U675">
        <v>1</v>
      </c>
      <c r="V675" s="3" t="s">
        <v>23</v>
      </c>
      <c r="W675" s="3" t="s">
        <v>24</v>
      </c>
      <c r="X675" s="3" t="s">
        <v>24</v>
      </c>
      <c r="Y675" s="3" t="s">
        <v>46</v>
      </c>
      <c r="Z675" s="3" t="s">
        <v>25</v>
      </c>
      <c r="AA675" s="3" t="s">
        <v>25</v>
      </c>
      <c r="AB675" s="3" t="str">
        <f>IF(crimenes_cordoba_ampliado[[#This Row],[Hubo Arresto]]="Sí", "Resuelto", "Pendiente")</f>
        <v>Resuelto</v>
      </c>
      <c r="AC675" s="3" t="s">
        <v>139</v>
      </c>
      <c r="AD675" s="3"/>
    </row>
    <row r="676" spans="1:30" x14ac:dyDescent="0.25">
      <c r="A676">
        <v>670</v>
      </c>
      <c r="B676" s="1">
        <v>44514</v>
      </c>
      <c r="C676" s="33">
        <f t="shared" si="20"/>
        <v>44514</v>
      </c>
      <c r="D676" s="34">
        <f t="shared" si="21"/>
        <v>44514</v>
      </c>
      <c r="E676" s="35" t="s">
        <v>1449</v>
      </c>
      <c r="F676" s="2">
        <v>0.6381944444444444</v>
      </c>
      <c r="G676" s="3" t="s">
        <v>42</v>
      </c>
      <c r="H676" s="3" t="s">
        <v>65</v>
      </c>
      <c r="I676" s="25" t="str">
        <f>VLOOKUP(H676,Tabla5[#All],4,FALSE)</f>
        <v>-31,4285567311661, -64,1853198281007</v>
      </c>
      <c r="J676" s="1">
        <v>25677</v>
      </c>
      <c r="K676" s="7">
        <f>INT((crimenes_cordoba_ampliado[[#This Row],[Fecha]]-crimenes_cordoba_ampliado[[#This Row],[Fecha Nac. Delincuente]])/365)</f>
        <v>51</v>
      </c>
      <c r="L676" s="7" t="str">
        <f>_xlfn.XLOOKUP(crimenes_cordoba_ampliado[[#This Row],[EDAD DELINCUENTE]],'Rango etareo'!$A$10:$A$25,'Rango etareo'!$B$10:$B$25,,-1)</f>
        <v>46 - 55</v>
      </c>
      <c r="M676" s="3" t="s">
        <v>21</v>
      </c>
      <c r="N676" s="3" t="str">
        <f>IF(crimenes_cordoba_ampliado[[#This Row],[Género Delincuente]]="Femenino","🚺","🚹")</f>
        <v>🚺</v>
      </c>
      <c r="O676">
        <v>2</v>
      </c>
      <c r="P676" s="1">
        <v>20307</v>
      </c>
      <c r="Q676" s="7">
        <f>INT((crimenes_cordoba_ampliado[[#This Row],[Fecha]]-crimenes_cordoba_ampliado[[#This Row],[Fecha Nac. Víctima]])/365)</f>
        <v>66</v>
      </c>
      <c r="R676" s="7" t="str">
        <f>_xlfn.XLOOKUP(crimenes_cordoba_ampliado[[#This Row],[EDAD VICTIMA]],'Rango etareo'!$A$2:$A$25,'Rango etareo'!$B$2:$B$25,,-1)</f>
        <v>&gt;65</v>
      </c>
      <c r="S676" s="3" t="s">
        <v>22</v>
      </c>
      <c r="T676" s="3" t="str">
        <f>IF(crimenes_cordoba_ampliado[[#This Row],[Género Víctima]]="Masculino","🚹","🚺")</f>
        <v>🚹</v>
      </c>
      <c r="U676">
        <v>3</v>
      </c>
      <c r="V676" s="3" t="s">
        <v>25</v>
      </c>
      <c r="W676" s="3" t="s">
        <v>24</v>
      </c>
      <c r="X676" s="3" t="s">
        <v>24</v>
      </c>
      <c r="Y676" s="3" t="s">
        <v>39</v>
      </c>
      <c r="Z676" s="3" t="s">
        <v>23</v>
      </c>
      <c r="AA676" s="3" t="s">
        <v>23</v>
      </c>
      <c r="AB676" s="3" t="str">
        <f>IF(crimenes_cordoba_ampliado[[#This Row],[Hubo Arresto]]="Sí", "Resuelto", "Pendiente")</f>
        <v>Pendiente</v>
      </c>
      <c r="AC676" s="3" t="s">
        <v>24</v>
      </c>
      <c r="AD676" s="3"/>
    </row>
    <row r="677" spans="1:30" x14ac:dyDescent="0.25">
      <c r="A677">
        <v>662</v>
      </c>
      <c r="B677" s="1">
        <v>44214</v>
      </c>
      <c r="C677" s="33">
        <f t="shared" si="20"/>
        <v>44214</v>
      </c>
      <c r="D677" s="34">
        <f t="shared" si="21"/>
        <v>44214</v>
      </c>
      <c r="E677" s="35" t="s">
        <v>1452</v>
      </c>
      <c r="F677" s="2">
        <v>0.41041666666666665</v>
      </c>
      <c r="G677" s="3" t="s">
        <v>51</v>
      </c>
      <c r="H677" s="3" t="s">
        <v>58</v>
      </c>
      <c r="I677" s="25" t="str">
        <f>VLOOKUP(H677,Tabla5[#All],4,FALSE)</f>
        <v>-31,423018915313, -64,1493562190664</v>
      </c>
      <c r="J677" s="1">
        <v>30170</v>
      </c>
      <c r="K677" s="7">
        <f>INT((crimenes_cordoba_ampliado[[#This Row],[Fecha]]-crimenes_cordoba_ampliado[[#This Row],[Fecha Nac. Delincuente]])/365)</f>
        <v>38</v>
      </c>
      <c r="L677" s="7" t="str">
        <f>_xlfn.XLOOKUP(crimenes_cordoba_ampliado[[#This Row],[EDAD DELINCUENTE]],'Rango etareo'!$A$10:$A$25,'Rango etareo'!$B$10:$B$25,,-1)</f>
        <v>36 - 45</v>
      </c>
      <c r="M677" s="3" t="s">
        <v>22</v>
      </c>
      <c r="N677" s="3" t="str">
        <f>IF(crimenes_cordoba_ampliado[[#This Row],[Género Delincuente]]="Femenino","🚺","🚹")</f>
        <v>🚹</v>
      </c>
      <c r="O677">
        <v>1</v>
      </c>
      <c r="P677" s="1">
        <v>37858</v>
      </c>
      <c r="Q677" s="7">
        <f>INT((crimenes_cordoba_ampliado[[#This Row],[Fecha]]-crimenes_cordoba_ampliado[[#This Row],[Fecha Nac. Víctima]])/365)</f>
        <v>17</v>
      </c>
      <c r="R677" s="7" t="str">
        <f>_xlfn.XLOOKUP(crimenes_cordoba_ampliado[[#This Row],[EDAD VICTIMA]],'Rango etareo'!$A$2:$A$25,'Rango etareo'!$B$2:$B$25,,-1)</f>
        <v>&lt;=17</v>
      </c>
      <c r="S677" s="3" t="s">
        <v>22</v>
      </c>
      <c r="T677" s="3" t="str">
        <f>IF(crimenes_cordoba_ampliado[[#This Row],[Género Víctima]]="Masculino","🚹","🚺")</f>
        <v>🚹</v>
      </c>
      <c r="U677">
        <v>1</v>
      </c>
      <c r="V677" s="3" t="s">
        <v>23</v>
      </c>
      <c r="W677" s="3" t="s">
        <v>24</v>
      </c>
      <c r="X677" s="3" t="s">
        <v>24</v>
      </c>
      <c r="Y677" s="3" t="s">
        <v>72</v>
      </c>
      <c r="Z677" s="3" t="s">
        <v>25</v>
      </c>
      <c r="AA677" s="3" t="s">
        <v>25</v>
      </c>
      <c r="AB677" s="3" t="str">
        <f>IF(crimenes_cordoba_ampliado[[#This Row],[Hubo Arresto]]="Sí", "Resuelto", "Pendiente")</f>
        <v>Resuelto</v>
      </c>
      <c r="AC677" s="3" t="s">
        <v>164</v>
      </c>
      <c r="AD677" s="3"/>
    </row>
    <row r="678" spans="1:30" x14ac:dyDescent="0.25">
      <c r="A678">
        <v>184</v>
      </c>
      <c r="B678" s="1">
        <v>44539</v>
      </c>
      <c r="C678" s="33">
        <f t="shared" si="20"/>
        <v>44539</v>
      </c>
      <c r="D678" s="34">
        <f t="shared" si="21"/>
        <v>44539</v>
      </c>
      <c r="E678" s="35" t="s">
        <v>1454</v>
      </c>
      <c r="F678" s="2">
        <v>0.87222222222222223</v>
      </c>
      <c r="G678" s="3" t="s">
        <v>31</v>
      </c>
      <c r="H678" s="3" t="s">
        <v>20</v>
      </c>
      <c r="I678" s="25" t="str">
        <f>VLOOKUP(H678,Tabla5[#All],4,FALSE)</f>
        <v>-31,4800162965848, -64,2094200976892</v>
      </c>
      <c r="J678" s="1">
        <v>32017</v>
      </c>
      <c r="K678" s="7">
        <f>INT((crimenes_cordoba_ampliado[[#This Row],[Fecha]]-crimenes_cordoba_ampliado[[#This Row],[Fecha Nac. Delincuente]])/365)</f>
        <v>34</v>
      </c>
      <c r="L678" s="7" t="str">
        <f>_xlfn.XLOOKUP(crimenes_cordoba_ampliado[[#This Row],[EDAD DELINCUENTE]],'Rango etareo'!$A$10:$A$25,'Rango etareo'!$B$10:$B$25,,-1)</f>
        <v>26 - 35</v>
      </c>
      <c r="M678" s="3" t="s">
        <v>21</v>
      </c>
      <c r="N678" s="3" t="str">
        <f>IF(crimenes_cordoba_ampliado[[#This Row],[Género Delincuente]]="Femenino","🚺","🚹")</f>
        <v>🚺</v>
      </c>
      <c r="O678">
        <v>2</v>
      </c>
      <c r="P678" s="1">
        <v>39702</v>
      </c>
      <c r="Q678" s="7">
        <f>INT((crimenes_cordoba_ampliado[[#This Row],[Fecha]]-crimenes_cordoba_ampliado[[#This Row],[Fecha Nac. Víctima]])/365)</f>
        <v>13</v>
      </c>
      <c r="R678" s="7" t="str">
        <f>_xlfn.XLOOKUP(crimenes_cordoba_ampliado[[#This Row],[EDAD VICTIMA]],'Rango etareo'!$A$2:$A$25,'Rango etareo'!$B$2:$B$25,,-1)</f>
        <v>&lt;=17</v>
      </c>
      <c r="S678" s="3" t="s">
        <v>22</v>
      </c>
      <c r="T678" s="3" t="str">
        <f>IF(crimenes_cordoba_ampliado[[#This Row],[Género Víctima]]="Masculino","🚹","🚺")</f>
        <v>🚹</v>
      </c>
      <c r="U678">
        <v>3</v>
      </c>
      <c r="V678" s="3" t="s">
        <v>25</v>
      </c>
      <c r="W678" s="3" t="s">
        <v>24</v>
      </c>
      <c r="X678" s="3" t="s">
        <v>24</v>
      </c>
      <c r="Y678" s="3" t="s">
        <v>24</v>
      </c>
      <c r="Z678" s="3" t="s">
        <v>25</v>
      </c>
      <c r="AA678" s="3" t="s">
        <v>25</v>
      </c>
      <c r="AB678" s="3" t="str">
        <f>IF(crimenes_cordoba_ampliado[[#This Row],[Hubo Arresto]]="Sí", "Resuelto", "Pendiente")</f>
        <v>Pendiente</v>
      </c>
      <c r="AC678" s="3" t="s">
        <v>24</v>
      </c>
      <c r="AD678" s="3"/>
    </row>
    <row r="679" spans="1:30" x14ac:dyDescent="0.25">
      <c r="A679">
        <v>663</v>
      </c>
      <c r="B679" s="1">
        <v>44188</v>
      </c>
      <c r="C679" s="33">
        <f t="shared" si="20"/>
        <v>44188</v>
      </c>
      <c r="D679" s="34">
        <f t="shared" si="21"/>
        <v>44188</v>
      </c>
      <c r="E679" s="35" t="s">
        <v>1450</v>
      </c>
      <c r="F679" s="2">
        <v>0.66736111111111107</v>
      </c>
      <c r="G679" s="3" t="s">
        <v>45</v>
      </c>
      <c r="H679" s="3" t="s">
        <v>49</v>
      </c>
      <c r="I679" s="25" t="str">
        <f>VLOOKUP(H679,Tabla5[#All],4,FALSE)</f>
        <v>-31,4506257494184, -64,1733054344705</v>
      </c>
      <c r="J679" s="1">
        <v>32713</v>
      </c>
      <c r="K679" s="7">
        <f>INT((crimenes_cordoba_ampliado[[#This Row],[Fecha]]-crimenes_cordoba_ampliado[[#This Row],[Fecha Nac. Delincuente]])/365)</f>
        <v>31</v>
      </c>
      <c r="L679" s="7" t="str">
        <f>_xlfn.XLOOKUP(crimenes_cordoba_ampliado[[#This Row],[EDAD DELINCUENTE]],'Rango etareo'!$A$10:$A$25,'Rango etareo'!$B$10:$B$25,,-1)</f>
        <v>26 - 35</v>
      </c>
      <c r="M679" s="3" t="s">
        <v>22</v>
      </c>
      <c r="N679" s="3" t="str">
        <f>IF(crimenes_cordoba_ampliado[[#This Row],[Género Delincuente]]="Femenino","🚺","🚹")</f>
        <v>🚹</v>
      </c>
      <c r="O679">
        <v>1</v>
      </c>
      <c r="P679" s="1">
        <v>20125</v>
      </c>
      <c r="Q679" s="7">
        <f>INT((crimenes_cordoba_ampliado[[#This Row],[Fecha]]-crimenes_cordoba_ampliado[[#This Row],[Fecha Nac. Víctima]])/365)</f>
        <v>65</v>
      </c>
      <c r="R679" s="7" t="str">
        <f>_xlfn.XLOOKUP(crimenes_cordoba_ampliado[[#This Row],[EDAD VICTIMA]],'Rango etareo'!$A$2:$A$25,'Rango etareo'!$B$2:$B$25,,-1)</f>
        <v>&gt;65</v>
      </c>
      <c r="S679" s="3" t="s">
        <v>21</v>
      </c>
      <c r="T679" s="3" t="str">
        <f>IF(crimenes_cordoba_ampliado[[#This Row],[Género Víctima]]="Masculino","🚹","🚺")</f>
        <v>🚺</v>
      </c>
      <c r="U679">
        <v>3</v>
      </c>
      <c r="V679" s="3" t="s">
        <v>23</v>
      </c>
      <c r="W679" s="3" t="s">
        <v>24</v>
      </c>
      <c r="X679" s="3" t="s">
        <v>29</v>
      </c>
      <c r="Y679" s="3" t="s">
        <v>24</v>
      </c>
      <c r="Z679" s="3" t="s">
        <v>23</v>
      </c>
      <c r="AA679" s="3" t="s">
        <v>23</v>
      </c>
      <c r="AB679" s="3" t="str">
        <f>IF(crimenes_cordoba_ampliado[[#This Row],[Hubo Arresto]]="Sí", "Resuelto", "Pendiente")</f>
        <v>Resuelto</v>
      </c>
      <c r="AC679" s="3" t="s">
        <v>278</v>
      </c>
      <c r="AD679" s="3"/>
    </row>
    <row r="680" spans="1:30" x14ac:dyDescent="0.25">
      <c r="A680">
        <v>664</v>
      </c>
      <c r="B680" s="1">
        <v>43853</v>
      </c>
      <c r="C680" s="33">
        <f t="shared" si="20"/>
        <v>43853</v>
      </c>
      <c r="D680" s="34">
        <f t="shared" si="21"/>
        <v>43853</v>
      </c>
      <c r="E680" s="35" t="s">
        <v>1454</v>
      </c>
      <c r="F680" s="2">
        <v>0.96805555555555556</v>
      </c>
      <c r="G680" s="3" t="s">
        <v>51</v>
      </c>
      <c r="H680" s="3" t="s">
        <v>49</v>
      </c>
      <c r="I680" s="25" t="str">
        <f>VLOOKUP(H680,Tabla5[#All],4,FALSE)</f>
        <v>-31,4506257494184, -64,1733054344705</v>
      </c>
      <c r="J680" s="1">
        <v>27602</v>
      </c>
      <c r="K680" s="7">
        <f>INT((crimenes_cordoba_ampliado[[#This Row],[Fecha]]-crimenes_cordoba_ampliado[[#This Row],[Fecha Nac. Delincuente]])/365)</f>
        <v>44</v>
      </c>
      <c r="L680" s="7" t="str">
        <f>_xlfn.XLOOKUP(crimenes_cordoba_ampliado[[#This Row],[EDAD DELINCUENTE]],'Rango etareo'!$A$10:$A$25,'Rango etareo'!$B$10:$B$25,,-1)</f>
        <v>36 - 45</v>
      </c>
      <c r="M680" s="3" t="s">
        <v>21</v>
      </c>
      <c r="N680" s="3" t="str">
        <f>IF(crimenes_cordoba_ampliado[[#This Row],[Género Delincuente]]="Femenino","🚺","🚹")</f>
        <v>🚺</v>
      </c>
      <c r="O680">
        <v>4</v>
      </c>
      <c r="P680" s="1">
        <v>30617</v>
      </c>
      <c r="Q680" s="7">
        <f>INT((crimenes_cordoba_ampliado[[#This Row],[Fecha]]-crimenes_cordoba_ampliado[[#This Row],[Fecha Nac. Víctima]])/365)</f>
        <v>36</v>
      </c>
      <c r="R680" s="7" t="str">
        <f>_xlfn.XLOOKUP(crimenes_cordoba_ampliado[[#This Row],[EDAD VICTIMA]],'Rango etareo'!$A$2:$A$25,'Rango etareo'!$B$2:$B$25,,-1)</f>
        <v>36 - 45</v>
      </c>
      <c r="S680" s="3" t="s">
        <v>21</v>
      </c>
      <c r="T680" s="3" t="str">
        <f>IF(crimenes_cordoba_ampliado[[#This Row],[Género Víctima]]="Masculino","🚹","🚺")</f>
        <v>🚺</v>
      </c>
      <c r="U680">
        <v>2</v>
      </c>
      <c r="V680" s="3" t="s">
        <v>23</v>
      </c>
      <c r="W680" s="3" t="s">
        <v>63</v>
      </c>
      <c r="X680" s="3" t="s">
        <v>50</v>
      </c>
      <c r="Y680" s="3" t="s">
        <v>24</v>
      </c>
      <c r="Z680" s="3" t="s">
        <v>23</v>
      </c>
      <c r="AA680" s="3" t="s">
        <v>25</v>
      </c>
      <c r="AB680" s="3" t="str">
        <f>IF(crimenes_cordoba_ampliado[[#This Row],[Hubo Arresto]]="Sí", "Resuelto", "Pendiente")</f>
        <v>Resuelto</v>
      </c>
      <c r="AC680" s="3" t="s">
        <v>163</v>
      </c>
      <c r="AD680" s="3"/>
    </row>
    <row r="681" spans="1:30" x14ac:dyDescent="0.25">
      <c r="A681">
        <v>665</v>
      </c>
      <c r="B681" s="1">
        <v>45314</v>
      </c>
      <c r="C681" s="33">
        <f t="shared" si="20"/>
        <v>45314</v>
      </c>
      <c r="D681" s="34">
        <f t="shared" si="21"/>
        <v>45314</v>
      </c>
      <c r="E681" s="35" t="s">
        <v>1453</v>
      </c>
      <c r="F681" s="2">
        <v>0.83402777777777781</v>
      </c>
      <c r="G681" s="3" t="s">
        <v>81</v>
      </c>
      <c r="H681" s="3" t="s">
        <v>55</v>
      </c>
      <c r="I681" s="25" t="str">
        <f>VLOOKUP(H681,Tabla5[#All],4,FALSE)</f>
        <v>-31,4015892433235, -64,160442876477</v>
      </c>
      <c r="J681" s="1">
        <v>22878</v>
      </c>
      <c r="K681" s="7">
        <f>INT((crimenes_cordoba_ampliado[[#This Row],[Fecha]]-crimenes_cordoba_ampliado[[#This Row],[Fecha Nac. Delincuente]])/365)</f>
        <v>61</v>
      </c>
      <c r="L681" s="7" t="str">
        <f>_xlfn.XLOOKUP(crimenes_cordoba_ampliado[[#This Row],[EDAD DELINCUENTE]],'Rango etareo'!$A$10:$A$25,'Rango etareo'!$B$10:$B$25,,-1)</f>
        <v>56 - 65</v>
      </c>
      <c r="M681" s="3" t="s">
        <v>22</v>
      </c>
      <c r="N681" s="3" t="str">
        <f>IF(crimenes_cordoba_ampliado[[#This Row],[Género Delincuente]]="Femenino","🚺","🚹")</f>
        <v>🚹</v>
      </c>
      <c r="O681">
        <v>1</v>
      </c>
      <c r="P681" s="1">
        <v>37465</v>
      </c>
      <c r="Q681" s="7">
        <f>INT((crimenes_cordoba_ampliado[[#This Row],[Fecha]]-crimenes_cordoba_ampliado[[#This Row],[Fecha Nac. Víctima]])/365)</f>
        <v>21</v>
      </c>
      <c r="R681" s="7" t="str">
        <f>_xlfn.XLOOKUP(crimenes_cordoba_ampliado[[#This Row],[EDAD VICTIMA]],'Rango etareo'!$A$2:$A$25,'Rango etareo'!$B$2:$B$25,,-1)</f>
        <v>18 - 25</v>
      </c>
      <c r="S681" s="3" t="s">
        <v>22</v>
      </c>
      <c r="T681" s="3" t="str">
        <f>IF(crimenes_cordoba_ampliado[[#This Row],[Género Víctima]]="Masculino","🚹","🚺")</f>
        <v>🚹</v>
      </c>
      <c r="U681">
        <v>2</v>
      </c>
      <c r="V681" s="3" t="s">
        <v>23</v>
      </c>
      <c r="W681" s="3" t="s">
        <v>83</v>
      </c>
      <c r="X681" s="3" t="s">
        <v>50</v>
      </c>
      <c r="Y681" s="3" t="s">
        <v>24</v>
      </c>
      <c r="Z681" s="3" t="s">
        <v>23</v>
      </c>
      <c r="AA681" s="3" t="s">
        <v>25</v>
      </c>
      <c r="AB681" s="3" t="str">
        <f>IF(crimenes_cordoba_ampliado[[#This Row],[Hubo Arresto]]="Sí", "Resuelto", "Pendiente")</f>
        <v>Resuelto</v>
      </c>
      <c r="AC681" s="3" t="s">
        <v>285</v>
      </c>
      <c r="AD681" s="3"/>
    </row>
    <row r="682" spans="1:30" x14ac:dyDescent="0.25">
      <c r="A682">
        <v>395</v>
      </c>
      <c r="B682" s="1">
        <v>44561</v>
      </c>
      <c r="C682" s="33">
        <f t="shared" si="20"/>
        <v>44561</v>
      </c>
      <c r="D682" s="34">
        <f t="shared" si="21"/>
        <v>44561</v>
      </c>
      <c r="E682" s="35" t="s">
        <v>1455</v>
      </c>
      <c r="F682" s="2">
        <v>0.95</v>
      </c>
      <c r="G682" s="3" t="s">
        <v>42</v>
      </c>
      <c r="H682" s="3" t="s">
        <v>60</v>
      </c>
      <c r="I682" s="25" t="str">
        <f>VLOOKUP(H682,Tabla5[#All],4,FALSE)</f>
        <v>-31,4076397196409, -64,2020170430678</v>
      </c>
      <c r="J682" s="1">
        <v>18694</v>
      </c>
      <c r="K682" s="7">
        <f>INT((crimenes_cordoba_ampliado[[#This Row],[Fecha]]-crimenes_cordoba_ampliado[[#This Row],[Fecha Nac. Delincuente]])/365)</f>
        <v>70</v>
      </c>
      <c r="L682" s="7" t="str">
        <f>_xlfn.XLOOKUP(crimenes_cordoba_ampliado[[#This Row],[EDAD DELINCUENTE]],'Rango etareo'!$A$10:$A$25,'Rango etareo'!$B$10:$B$25,,-1)</f>
        <v>&gt;65</v>
      </c>
      <c r="M682" s="3" t="s">
        <v>22</v>
      </c>
      <c r="N682" s="3" t="str">
        <f>IF(crimenes_cordoba_ampliado[[#This Row],[Género Delincuente]]="Femenino","🚺","🚹")</f>
        <v>🚹</v>
      </c>
      <c r="O682">
        <v>2</v>
      </c>
      <c r="P682" s="1">
        <v>33379</v>
      </c>
      <c r="Q682" s="7">
        <f>INT((crimenes_cordoba_ampliado[[#This Row],[Fecha]]-crimenes_cordoba_ampliado[[#This Row],[Fecha Nac. Víctima]])/365)</f>
        <v>30</v>
      </c>
      <c r="R682" s="7" t="str">
        <f>_xlfn.XLOOKUP(crimenes_cordoba_ampliado[[#This Row],[EDAD VICTIMA]],'Rango etareo'!$A$2:$A$25,'Rango etareo'!$B$2:$B$25,,-1)</f>
        <v>26 - 35</v>
      </c>
      <c r="S682" s="3" t="s">
        <v>21</v>
      </c>
      <c r="T682" s="3" t="str">
        <f>IF(crimenes_cordoba_ampliado[[#This Row],[Género Víctima]]="Masculino","🚹","🚺")</f>
        <v>🚺</v>
      </c>
      <c r="U682">
        <v>2</v>
      </c>
      <c r="V682" s="3" t="s">
        <v>25</v>
      </c>
      <c r="W682" s="3" t="s">
        <v>71</v>
      </c>
      <c r="X682" s="3" t="s">
        <v>24</v>
      </c>
      <c r="Y682" s="3" t="s">
        <v>64</v>
      </c>
      <c r="Z682" s="3" t="s">
        <v>23</v>
      </c>
      <c r="AA682" s="3" t="s">
        <v>25</v>
      </c>
      <c r="AB682" s="3" t="str">
        <f>IF(crimenes_cordoba_ampliado[[#This Row],[Hubo Arresto]]="Sí", "Resuelto", "Pendiente")</f>
        <v>Pendiente</v>
      </c>
      <c r="AC682" s="3" t="s">
        <v>24</v>
      </c>
      <c r="AD682" s="3"/>
    </row>
    <row r="683" spans="1:30" x14ac:dyDescent="0.25">
      <c r="A683">
        <v>674</v>
      </c>
      <c r="B683" s="1">
        <v>43108</v>
      </c>
      <c r="C683" s="33">
        <f t="shared" si="20"/>
        <v>43108</v>
      </c>
      <c r="D683" s="34">
        <f t="shared" si="21"/>
        <v>43108</v>
      </c>
      <c r="E683" s="35" t="s">
        <v>1452</v>
      </c>
      <c r="F683" s="2">
        <v>0.56736111111111109</v>
      </c>
      <c r="G683" s="3" t="s">
        <v>35</v>
      </c>
      <c r="H683" s="3" t="s">
        <v>32</v>
      </c>
      <c r="I683" s="25" t="str">
        <f>VLOOKUP(H683,Tabla5[#All],4,FALSE)</f>
        <v>-31,4148488101991, -64,1793406489438</v>
      </c>
      <c r="J683" s="1">
        <v>27468</v>
      </c>
      <c r="K683" s="7">
        <f>INT((crimenes_cordoba_ampliado[[#This Row],[Fecha]]-crimenes_cordoba_ampliado[[#This Row],[Fecha Nac. Delincuente]])/365)</f>
        <v>42</v>
      </c>
      <c r="L683" s="7" t="str">
        <f>_xlfn.XLOOKUP(crimenes_cordoba_ampliado[[#This Row],[EDAD DELINCUENTE]],'Rango etareo'!$A$10:$A$25,'Rango etareo'!$B$10:$B$25,,-1)</f>
        <v>36 - 45</v>
      </c>
      <c r="M683" s="3" t="s">
        <v>22</v>
      </c>
      <c r="N683" s="3" t="str">
        <f>IF(crimenes_cordoba_ampliado[[#This Row],[Género Delincuente]]="Femenino","🚺","🚹")</f>
        <v>🚹</v>
      </c>
      <c r="O683">
        <v>5</v>
      </c>
      <c r="P683" s="1">
        <v>18302</v>
      </c>
      <c r="Q683" s="7">
        <f>INT((crimenes_cordoba_ampliado[[#This Row],[Fecha]]-crimenes_cordoba_ampliado[[#This Row],[Fecha Nac. Víctima]])/365)</f>
        <v>67</v>
      </c>
      <c r="R683" s="7" t="str">
        <f>_xlfn.XLOOKUP(crimenes_cordoba_ampliado[[#This Row],[EDAD VICTIMA]],'Rango etareo'!$A$2:$A$25,'Rango etareo'!$B$2:$B$25,,-1)</f>
        <v>&gt;65</v>
      </c>
      <c r="S683" s="3" t="s">
        <v>22</v>
      </c>
      <c r="T683" s="3" t="str">
        <f>IF(crimenes_cordoba_ampliado[[#This Row],[Género Víctima]]="Masculino","🚹","🚺")</f>
        <v>🚹</v>
      </c>
      <c r="U683">
        <v>3</v>
      </c>
      <c r="V683" s="3" t="s">
        <v>23</v>
      </c>
      <c r="W683" s="3" t="s">
        <v>24</v>
      </c>
      <c r="X683" s="3" t="s">
        <v>50</v>
      </c>
      <c r="Y683" s="3" t="s">
        <v>24</v>
      </c>
      <c r="Z683" s="3" t="s">
        <v>25</v>
      </c>
      <c r="AA683" s="3" t="s">
        <v>23</v>
      </c>
      <c r="AB683" s="3" t="str">
        <f>IF(crimenes_cordoba_ampliado[[#This Row],[Hubo Arresto]]="Sí", "Resuelto", "Pendiente")</f>
        <v>Resuelto</v>
      </c>
      <c r="AC683" s="3" t="s">
        <v>286</v>
      </c>
      <c r="AD683" s="3"/>
    </row>
    <row r="684" spans="1:30" x14ac:dyDescent="0.25">
      <c r="A684">
        <v>393</v>
      </c>
      <c r="B684" s="1">
        <v>44568</v>
      </c>
      <c r="C684" s="33">
        <f t="shared" si="20"/>
        <v>44568</v>
      </c>
      <c r="D684" s="34">
        <f t="shared" si="21"/>
        <v>44568</v>
      </c>
      <c r="E684" s="35" t="s">
        <v>1455</v>
      </c>
      <c r="F684" s="2">
        <v>0.1</v>
      </c>
      <c r="G684" s="3" t="s">
        <v>19</v>
      </c>
      <c r="H684" s="3" t="s">
        <v>40</v>
      </c>
      <c r="I684" s="25" t="str">
        <f>VLOOKUP(H684,Tabla5[#All],4,FALSE)</f>
        <v>-31,334500143441, -64,2460773260564</v>
      </c>
      <c r="J684" s="1">
        <v>34030</v>
      </c>
      <c r="K684" s="7">
        <f>INT((crimenes_cordoba_ampliado[[#This Row],[Fecha]]-crimenes_cordoba_ampliado[[#This Row],[Fecha Nac. Delincuente]])/365)</f>
        <v>28</v>
      </c>
      <c r="L684" s="7" t="str">
        <f>_xlfn.XLOOKUP(crimenes_cordoba_ampliado[[#This Row],[EDAD DELINCUENTE]],'Rango etareo'!$A$10:$A$25,'Rango etareo'!$B$10:$B$25,,-1)</f>
        <v>26 - 35</v>
      </c>
      <c r="M684" s="3" t="s">
        <v>22</v>
      </c>
      <c r="N684" s="3" t="str">
        <f>IF(crimenes_cordoba_ampliado[[#This Row],[Género Delincuente]]="Femenino","🚺","🚹")</f>
        <v>🚹</v>
      </c>
      <c r="O684">
        <v>3</v>
      </c>
      <c r="P684" s="1">
        <v>36913</v>
      </c>
      <c r="Q684" s="7">
        <f>INT((crimenes_cordoba_ampliado[[#This Row],[Fecha]]-crimenes_cordoba_ampliado[[#This Row],[Fecha Nac. Víctima]])/365)</f>
        <v>20</v>
      </c>
      <c r="R684" s="7" t="str">
        <f>_xlfn.XLOOKUP(crimenes_cordoba_ampliado[[#This Row],[EDAD VICTIMA]],'Rango etareo'!$A$2:$A$25,'Rango etareo'!$B$2:$B$25,,-1)</f>
        <v>18 - 25</v>
      </c>
      <c r="S684" s="3" t="s">
        <v>22</v>
      </c>
      <c r="T684" s="3" t="str">
        <f>IF(crimenes_cordoba_ampliado[[#This Row],[Género Víctima]]="Masculino","🚹","🚺")</f>
        <v>🚹</v>
      </c>
      <c r="U684">
        <v>1</v>
      </c>
      <c r="V684" s="3" t="s">
        <v>25</v>
      </c>
      <c r="W684" s="3" t="s">
        <v>24</v>
      </c>
      <c r="X684" s="3" t="s">
        <v>41</v>
      </c>
      <c r="Y684" s="3" t="s">
        <v>24</v>
      </c>
      <c r="Z684" s="3" t="s">
        <v>23</v>
      </c>
      <c r="AA684" s="3" t="s">
        <v>23</v>
      </c>
      <c r="AB684" s="3" t="str">
        <f>IF(crimenes_cordoba_ampliado[[#This Row],[Hubo Arresto]]="Sí", "Resuelto", "Pendiente")</f>
        <v>Pendiente</v>
      </c>
      <c r="AC684" s="3" t="s">
        <v>24</v>
      </c>
      <c r="AD684" s="3"/>
    </row>
    <row r="685" spans="1:30" x14ac:dyDescent="0.25">
      <c r="A685">
        <v>675</v>
      </c>
      <c r="B685" s="1">
        <v>42972</v>
      </c>
      <c r="C685" s="33">
        <f t="shared" si="20"/>
        <v>42972</v>
      </c>
      <c r="D685" s="34">
        <f t="shared" si="21"/>
        <v>42972</v>
      </c>
      <c r="E685" s="35" t="s">
        <v>1455</v>
      </c>
      <c r="F685" s="2">
        <v>0.43402777777777779</v>
      </c>
      <c r="G685" s="3" t="s">
        <v>35</v>
      </c>
      <c r="H685" s="3" t="s">
        <v>32</v>
      </c>
      <c r="I685" s="25" t="str">
        <f>VLOOKUP(H685,Tabla5[#All],4,FALSE)</f>
        <v>-31,4148488101991, -64,1793406489438</v>
      </c>
      <c r="J685" s="1">
        <v>21677</v>
      </c>
      <c r="K685" s="7">
        <f>INT((crimenes_cordoba_ampliado[[#This Row],[Fecha]]-crimenes_cordoba_ampliado[[#This Row],[Fecha Nac. Delincuente]])/365)</f>
        <v>58</v>
      </c>
      <c r="L685" s="7" t="str">
        <f>_xlfn.XLOOKUP(crimenes_cordoba_ampliado[[#This Row],[EDAD DELINCUENTE]],'Rango etareo'!$A$10:$A$25,'Rango etareo'!$B$10:$B$25,,-1)</f>
        <v>56 - 65</v>
      </c>
      <c r="M685" s="3" t="s">
        <v>21</v>
      </c>
      <c r="N685" s="3" t="str">
        <f>IF(crimenes_cordoba_ampliado[[#This Row],[Género Delincuente]]="Femenino","🚺","🚹")</f>
        <v>🚺</v>
      </c>
      <c r="O685">
        <v>4</v>
      </c>
      <c r="P685" s="1">
        <v>35583</v>
      </c>
      <c r="Q685" s="7">
        <f>INT((crimenes_cordoba_ampliado[[#This Row],[Fecha]]-crimenes_cordoba_ampliado[[#This Row],[Fecha Nac. Víctima]])/365)</f>
        <v>20</v>
      </c>
      <c r="R685" s="7" t="str">
        <f>_xlfn.XLOOKUP(crimenes_cordoba_ampliado[[#This Row],[EDAD VICTIMA]],'Rango etareo'!$A$2:$A$25,'Rango etareo'!$B$2:$B$25,,-1)</f>
        <v>18 - 25</v>
      </c>
      <c r="S685" s="3" t="s">
        <v>21</v>
      </c>
      <c r="T685" s="3" t="str">
        <f>IF(crimenes_cordoba_ampliado[[#This Row],[Género Víctima]]="Masculino","🚹","🚺")</f>
        <v>🚺</v>
      </c>
      <c r="U685">
        <v>3</v>
      </c>
      <c r="V685" s="3" t="s">
        <v>23</v>
      </c>
      <c r="W685" s="3" t="s">
        <v>24</v>
      </c>
      <c r="X685" s="3" t="s">
        <v>24</v>
      </c>
      <c r="Y685" s="3" t="s">
        <v>69</v>
      </c>
      <c r="Z685" s="3" t="s">
        <v>25</v>
      </c>
      <c r="AA685" s="3" t="s">
        <v>25</v>
      </c>
      <c r="AB685" s="3" t="str">
        <f>IF(crimenes_cordoba_ampliado[[#This Row],[Hubo Arresto]]="Sí", "Resuelto", "Pendiente")</f>
        <v>Resuelto</v>
      </c>
      <c r="AC685" s="3" t="s">
        <v>189</v>
      </c>
      <c r="AD685" s="3"/>
    </row>
    <row r="686" spans="1:30" x14ac:dyDescent="0.25">
      <c r="A686">
        <v>676</v>
      </c>
      <c r="B686" s="1">
        <v>44280</v>
      </c>
      <c r="C686" s="33">
        <f t="shared" si="20"/>
        <v>44280</v>
      </c>
      <c r="D686" s="34">
        <f t="shared" si="21"/>
        <v>44280</v>
      </c>
      <c r="E686" s="35" t="s">
        <v>1454</v>
      </c>
      <c r="F686" s="2">
        <v>0.18194444444444444</v>
      </c>
      <c r="G686" s="3" t="s">
        <v>79</v>
      </c>
      <c r="H686" s="3" t="s">
        <v>52</v>
      </c>
      <c r="I686" s="25" t="str">
        <f>VLOOKUP(H686,Tabla5[#All],4,FALSE)</f>
        <v>-31,3477902896523, -64,2644406169297</v>
      </c>
      <c r="J686" s="1">
        <v>23733</v>
      </c>
      <c r="K686" s="7">
        <f>INT((crimenes_cordoba_ampliado[[#This Row],[Fecha]]-crimenes_cordoba_ampliado[[#This Row],[Fecha Nac. Delincuente]])/365)</f>
        <v>56</v>
      </c>
      <c r="L686" s="7" t="str">
        <f>_xlfn.XLOOKUP(crimenes_cordoba_ampliado[[#This Row],[EDAD DELINCUENTE]],'Rango etareo'!$A$10:$A$25,'Rango etareo'!$B$10:$B$25,,-1)</f>
        <v>56 - 65</v>
      </c>
      <c r="M686" s="3" t="s">
        <v>22</v>
      </c>
      <c r="N686" s="3" t="str">
        <f>IF(crimenes_cordoba_ampliado[[#This Row],[Género Delincuente]]="Femenino","🚺","🚹")</f>
        <v>🚹</v>
      </c>
      <c r="O686">
        <v>2</v>
      </c>
      <c r="P686" s="1">
        <v>32212</v>
      </c>
      <c r="Q686" s="7">
        <f>INT((crimenes_cordoba_ampliado[[#This Row],[Fecha]]-crimenes_cordoba_ampliado[[#This Row],[Fecha Nac. Víctima]])/365)</f>
        <v>33</v>
      </c>
      <c r="R686" s="7" t="str">
        <f>_xlfn.XLOOKUP(crimenes_cordoba_ampliado[[#This Row],[EDAD VICTIMA]],'Rango etareo'!$A$2:$A$25,'Rango etareo'!$B$2:$B$25,,-1)</f>
        <v>26 - 35</v>
      </c>
      <c r="S686" s="3" t="s">
        <v>21</v>
      </c>
      <c r="T686" s="3" t="str">
        <f>IF(crimenes_cordoba_ampliado[[#This Row],[Género Víctima]]="Masculino","🚹","🚺")</f>
        <v>🚺</v>
      </c>
      <c r="U686">
        <v>3</v>
      </c>
      <c r="V686" s="3" t="s">
        <v>23</v>
      </c>
      <c r="W686" s="3" t="s">
        <v>24</v>
      </c>
      <c r="X686" s="3" t="s">
        <v>29</v>
      </c>
      <c r="Y686" s="3" t="s">
        <v>24</v>
      </c>
      <c r="Z686" s="3" t="s">
        <v>25</v>
      </c>
      <c r="AA686" s="3" t="s">
        <v>25</v>
      </c>
      <c r="AB686" s="3" t="str">
        <f>IF(crimenes_cordoba_ampliado[[#This Row],[Hubo Arresto]]="Sí", "Resuelto", "Pendiente")</f>
        <v>Resuelto</v>
      </c>
      <c r="AC686" s="3" t="s">
        <v>287</v>
      </c>
      <c r="AD686" s="3"/>
    </row>
    <row r="687" spans="1:30" x14ac:dyDescent="0.25">
      <c r="A687">
        <v>985</v>
      </c>
      <c r="B687" s="1">
        <v>44575</v>
      </c>
      <c r="C687" s="33">
        <f t="shared" si="20"/>
        <v>44575</v>
      </c>
      <c r="D687" s="34">
        <f t="shared" si="21"/>
        <v>44575</v>
      </c>
      <c r="E687" s="35" t="s">
        <v>1455</v>
      </c>
      <c r="F687" s="2">
        <v>0.57430555555555551</v>
      </c>
      <c r="G687" s="3" t="s">
        <v>45</v>
      </c>
      <c r="H687" s="3" t="s">
        <v>60</v>
      </c>
      <c r="I687" s="25" t="str">
        <f>VLOOKUP(H687,Tabla5[#All],4,FALSE)</f>
        <v>-31,4076397196409, -64,2020170430678</v>
      </c>
      <c r="J687" s="1">
        <v>26093</v>
      </c>
      <c r="K687" s="7">
        <f>INT((crimenes_cordoba_ampliado[[#This Row],[Fecha]]-crimenes_cordoba_ampliado[[#This Row],[Fecha Nac. Delincuente]])/365)</f>
        <v>50</v>
      </c>
      <c r="L687" s="7" t="str">
        <f>_xlfn.XLOOKUP(crimenes_cordoba_ampliado[[#This Row],[EDAD DELINCUENTE]],'Rango etareo'!$A$10:$A$25,'Rango etareo'!$B$10:$B$25,,-1)</f>
        <v>46 - 55</v>
      </c>
      <c r="M687" s="3" t="s">
        <v>21</v>
      </c>
      <c r="N687" s="3" t="str">
        <f>IF(crimenes_cordoba_ampliado[[#This Row],[Género Delincuente]]="Femenino","🚺","🚹")</f>
        <v>🚺</v>
      </c>
      <c r="O687">
        <v>5</v>
      </c>
      <c r="P687" s="1">
        <v>20234</v>
      </c>
      <c r="Q687" s="7">
        <f>INT((crimenes_cordoba_ampliado[[#This Row],[Fecha]]-crimenes_cordoba_ampliado[[#This Row],[Fecha Nac. Víctima]])/365)</f>
        <v>66</v>
      </c>
      <c r="R687" s="7" t="str">
        <f>_xlfn.XLOOKUP(crimenes_cordoba_ampliado[[#This Row],[EDAD VICTIMA]],'Rango etareo'!$A$2:$A$25,'Rango etareo'!$B$2:$B$25,,-1)</f>
        <v>&gt;65</v>
      </c>
      <c r="S687" s="3" t="s">
        <v>22</v>
      </c>
      <c r="T687" s="3" t="str">
        <f>IF(crimenes_cordoba_ampliado[[#This Row],[Género Víctima]]="Masculino","🚹","🚺")</f>
        <v>🚹</v>
      </c>
      <c r="U687">
        <v>2</v>
      </c>
      <c r="V687" s="3" t="s">
        <v>25</v>
      </c>
      <c r="W687" s="3" t="s">
        <v>24</v>
      </c>
      <c r="X687" s="3" t="s">
        <v>24</v>
      </c>
      <c r="Y687" s="3" t="s">
        <v>56</v>
      </c>
      <c r="Z687" s="3" t="s">
        <v>23</v>
      </c>
      <c r="AA687" s="3" t="s">
        <v>25</v>
      </c>
      <c r="AB687" s="3" t="str">
        <f>IF(crimenes_cordoba_ampliado[[#This Row],[Hubo Arresto]]="Sí", "Resuelto", "Pendiente")</f>
        <v>Pendiente</v>
      </c>
      <c r="AC687" s="3" t="s">
        <v>24</v>
      </c>
      <c r="AD687" s="3"/>
    </row>
    <row r="688" spans="1:30" x14ac:dyDescent="0.25">
      <c r="A688">
        <v>678</v>
      </c>
      <c r="B688" s="1">
        <v>42813</v>
      </c>
      <c r="C688" s="33">
        <f t="shared" si="20"/>
        <v>42813</v>
      </c>
      <c r="D688" s="34">
        <f t="shared" si="21"/>
        <v>42813</v>
      </c>
      <c r="E688" s="35" t="s">
        <v>1449</v>
      </c>
      <c r="F688" s="2">
        <v>4.583333333333333E-2</v>
      </c>
      <c r="G688" s="3" t="s">
        <v>51</v>
      </c>
      <c r="H688" s="3" t="s">
        <v>32</v>
      </c>
      <c r="I688" s="25" t="str">
        <f>VLOOKUP(H688,Tabla5[#All],4,FALSE)</f>
        <v>-31,4148488101991, -64,1793406489438</v>
      </c>
      <c r="J688" s="1">
        <v>18955</v>
      </c>
      <c r="K688" s="7">
        <f>INT((crimenes_cordoba_ampliado[[#This Row],[Fecha]]-crimenes_cordoba_ampliado[[#This Row],[Fecha Nac. Delincuente]])/365)</f>
        <v>65</v>
      </c>
      <c r="L688" s="7" t="str">
        <f>_xlfn.XLOOKUP(crimenes_cordoba_ampliado[[#This Row],[EDAD DELINCUENTE]],'Rango etareo'!$A$10:$A$25,'Rango etareo'!$B$10:$B$25,,-1)</f>
        <v>&gt;65</v>
      </c>
      <c r="M688" s="3" t="s">
        <v>21</v>
      </c>
      <c r="N688" s="3" t="str">
        <f>IF(crimenes_cordoba_ampliado[[#This Row],[Género Delincuente]]="Femenino","🚺","🚹")</f>
        <v>🚺</v>
      </c>
      <c r="O688">
        <v>3</v>
      </c>
      <c r="P688" s="1">
        <v>27477</v>
      </c>
      <c r="Q688" s="7">
        <f>INT((crimenes_cordoba_ampliado[[#This Row],[Fecha]]-crimenes_cordoba_ampliado[[#This Row],[Fecha Nac. Víctima]])/365)</f>
        <v>42</v>
      </c>
      <c r="R688" s="7" t="str">
        <f>_xlfn.XLOOKUP(crimenes_cordoba_ampliado[[#This Row],[EDAD VICTIMA]],'Rango etareo'!$A$2:$A$25,'Rango etareo'!$B$2:$B$25,,-1)</f>
        <v>36 - 45</v>
      </c>
      <c r="S688" s="3" t="s">
        <v>22</v>
      </c>
      <c r="T688" s="3" t="str">
        <f>IF(crimenes_cordoba_ampliado[[#This Row],[Género Víctima]]="Masculino","🚹","🚺")</f>
        <v>🚹</v>
      </c>
      <c r="U688">
        <v>1</v>
      </c>
      <c r="V688" s="3" t="s">
        <v>23</v>
      </c>
      <c r="W688" s="3" t="s">
        <v>24</v>
      </c>
      <c r="X688" s="3" t="s">
        <v>24</v>
      </c>
      <c r="Y688" s="3" t="s">
        <v>53</v>
      </c>
      <c r="Z688" s="3" t="s">
        <v>25</v>
      </c>
      <c r="AA688" s="3" t="s">
        <v>25</v>
      </c>
      <c r="AB688" s="3" t="str">
        <f>IF(crimenes_cordoba_ampliado[[#This Row],[Hubo Arresto]]="Sí", "Resuelto", "Pendiente")</f>
        <v>Resuelto</v>
      </c>
      <c r="AC688" s="3" t="s">
        <v>164</v>
      </c>
      <c r="AD688" s="3"/>
    </row>
    <row r="689" spans="1:30" x14ac:dyDescent="0.25">
      <c r="A689">
        <v>681</v>
      </c>
      <c r="B689" s="1">
        <v>44897</v>
      </c>
      <c r="C689" s="33">
        <f t="shared" si="20"/>
        <v>44897</v>
      </c>
      <c r="D689" s="34">
        <f t="shared" si="21"/>
        <v>44897</v>
      </c>
      <c r="E689" s="35" t="s">
        <v>1455</v>
      </c>
      <c r="F689" s="2">
        <v>0.9243055555555556</v>
      </c>
      <c r="G689" s="3" t="s">
        <v>48</v>
      </c>
      <c r="H689" s="3" t="s">
        <v>70</v>
      </c>
      <c r="I689" s="25" t="str">
        <f>VLOOKUP(H689,Tabla5[#All],4,FALSE)</f>
        <v>-31,3759272890294, -64,2284587792478</v>
      </c>
      <c r="J689" s="1">
        <v>19929</v>
      </c>
      <c r="K689" s="7">
        <f>INT((crimenes_cordoba_ampliado[[#This Row],[Fecha]]-crimenes_cordoba_ampliado[[#This Row],[Fecha Nac. Delincuente]])/365)</f>
        <v>68</v>
      </c>
      <c r="L689" s="7" t="str">
        <f>_xlfn.XLOOKUP(crimenes_cordoba_ampliado[[#This Row],[EDAD DELINCUENTE]],'Rango etareo'!$A$10:$A$25,'Rango etareo'!$B$10:$B$25,,-1)</f>
        <v>&gt;65</v>
      </c>
      <c r="M689" s="3" t="s">
        <v>22</v>
      </c>
      <c r="N689" s="3" t="str">
        <f>IF(crimenes_cordoba_ampliado[[#This Row],[Género Delincuente]]="Femenino","🚺","🚹")</f>
        <v>🚹</v>
      </c>
      <c r="O689">
        <v>2</v>
      </c>
      <c r="P689" s="1">
        <v>20857</v>
      </c>
      <c r="Q689" s="7">
        <f>INT((crimenes_cordoba_ampliado[[#This Row],[Fecha]]-crimenes_cordoba_ampliado[[#This Row],[Fecha Nac. Víctima]])/365)</f>
        <v>65</v>
      </c>
      <c r="R689" s="7" t="str">
        <f>_xlfn.XLOOKUP(crimenes_cordoba_ampliado[[#This Row],[EDAD VICTIMA]],'Rango etareo'!$A$2:$A$25,'Rango etareo'!$B$2:$B$25,,-1)</f>
        <v>&gt;65</v>
      </c>
      <c r="S689" s="3" t="s">
        <v>22</v>
      </c>
      <c r="T689" s="3" t="str">
        <f>IF(crimenes_cordoba_ampliado[[#This Row],[Género Víctima]]="Masculino","🚹","🚺")</f>
        <v>🚹</v>
      </c>
      <c r="U689">
        <v>3</v>
      </c>
      <c r="V689" s="3" t="s">
        <v>23</v>
      </c>
      <c r="W689" s="3" t="s">
        <v>63</v>
      </c>
      <c r="X689" s="3" t="s">
        <v>41</v>
      </c>
      <c r="Y689" s="3" t="s">
        <v>24</v>
      </c>
      <c r="Z689" s="3" t="s">
        <v>25</v>
      </c>
      <c r="AA689" s="3" t="s">
        <v>25</v>
      </c>
      <c r="AB689" s="3" t="str">
        <f>IF(crimenes_cordoba_ampliado[[#This Row],[Hubo Arresto]]="Sí", "Resuelto", "Pendiente")</f>
        <v>Resuelto</v>
      </c>
      <c r="AC689" s="3" t="s">
        <v>288</v>
      </c>
      <c r="AD689" s="3"/>
    </row>
    <row r="690" spans="1:30" x14ac:dyDescent="0.25">
      <c r="A690">
        <v>243</v>
      </c>
      <c r="B690" s="1">
        <v>44589</v>
      </c>
      <c r="C690" s="33">
        <f t="shared" si="20"/>
        <v>44589</v>
      </c>
      <c r="D690" s="34">
        <f t="shared" si="21"/>
        <v>44589</v>
      </c>
      <c r="E690" s="35" t="s">
        <v>1455</v>
      </c>
      <c r="F690" s="2">
        <v>0.33819444444444446</v>
      </c>
      <c r="G690" s="3" t="s">
        <v>31</v>
      </c>
      <c r="H690" s="3" t="s">
        <v>32</v>
      </c>
      <c r="I690" s="25" t="str">
        <f>VLOOKUP(H690,Tabla5[#All],4,FALSE)</f>
        <v>-31,4148488101991, -64,1793406489438</v>
      </c>
      <c r="J690" s="1">
        <v>31072</v>
      </c>
      <c r="K690" s="7">
        <f>INT((crimenes_cordoba_ampliado[[#This Row],[Fecha]]-crimenes_cordoba_ampliado[[#This Row],[Fecha Nac. Delincuente]])/365)</f>
        <v>37</v>
      </c>
      <c r="L690" s="7" t="str">
        <f>_xlfn.XLOOKUP(crimenes_cordoba_ampliado[[#This Row],[EDAD DELINCUENTE]],'Rango etareo'!$A$10:$A$25,'Rango etareo'!$B$10:$B$25,,-1)</f>
        <v>36 - 45</v>
      </c>
      <c r="M690" s="3" t="s">
        <v>22</v>
      </c>
      <c r="N690" s="3" t="str">
        <f>IF(crimenes_cordoba_ampliado[[#This Row],[Género Delincuente]]="Femenino","🚺","🚹")</f>
        <v>🚹</v>
      </c>
      <c r="O690">
        <v>3</v>
      </c>
      <c r="P690" s="1">
        <v>42166</v>
      </c>
      <c r="Q690" s="7">
        <f>INT((crimenes_cordoba_ampliado[[#This Row],[Fecha]]-crimenes_cordoba_ampliado[[#This Row],[Fecha Nac. Víctima]])/365)</f>
        <v>6</v>
      </c>
      <c r="R690" s="7" t="str">
        <f>_xlfn.XLOOKUP(crimenes_cordoba_ampliado[[#This Row],[EDAD VICTIMA]],'Rango etareo'!$A$2:$A$25,'Rango etareo'!$B$2:$B$25,,-1)</f>
        <v>&lt;=17</v>
      </c>
      <c r="S690" s="3" t="s">
        <v>22</v>
      </c>
      <c r="T690" s="3" t="str">
        <f>IF(crimenes_cordoba_ampliado[[#This Row],[Género Víctima]]="Masculino","🚹","🚺")</f>
        <v>🚹</v>
      </c>
      <c r="U690">
        <v>3</v>
      </c>
      <c r="V690" s="3" t="s">
        <v>25</v>
      </c>
      <c r="W690" s="3" t="s">
        <v>24</v>
      </c>
      <c r="X690" s="3" t="s">
        <v>24</v>
      </c>
      <c r="Y690" s="3" t="s">
        <v>46</v>
      </c>
      <c r="Z690" s="3" t="s">
        <v>23</v>
      </c>
      <c r="AA690" s="3" t="s">
        <v>25</v>
      </c>
      <c r="AB690" s="3" t="str">
        <f>IF(crimenes_cordoba_ampliado[[#This Row],[Hubo Arresto]]="Sí", "Resuelto", "Pendiente")</f>
        <v>Pendiente</v>
      </c>
      <c r="AC690" s="3" t="s">
        <v>24</v>
      </c>
      <c r="AD690" s="3"/>
    </row>
    <row r="691" spans="1:30" x14ac:dyDescent="0.25">
      <c r="A691">
        <v>685</v>
      </c>
      <c r="B691" s="1">
        <v>45552</v>
      </c>
      <c r="C691" s="33">
        <f t="shared" si="20"/>
        <v>45552</v>
      </c>
      <c r="D691" s="34">
        <f t="shared" si="21"/>
        <v>45552</v>
      </c>
      <c r="E691" s="35" t="s">
        <v>1453</v>
      </c>
      <c r="F691" s="2">
        <v>0.42569444444444443</v>
      </c>
      <c r="G691" s="3" t="s">
        <v>45</v>
      </c>
      <c r="H691" s="3" t="s">
        <v>70</v>
      </c>
      <c r="I691" s="25" t="str">
        <f>VLOOKUP(H691,Tabla5[#All],4,FALSE)</f>
        <v>-31,3759272890294, -64,2284587792478</v>
      </c>
      <c r="J691" s="1">
        <v>30529</v>
      </c>
      <c r="K691" s="7">
        <f>INT((crimenes_cordoba_ampliado[[#This Row],[Fecha]]-crimenes_cordoba_ampliado[[#This Row],[Fecha Nac. Delincuente]])/365)</f>
        <v>41</v>
      </c>
      <c r="L691" s="7" t="str">
        <f>_xlfn.XLOOKUP(crimenes_cordoba_ampliado[[#This Row],[EDAD DELINCUENTE]],'Rango etareo'!$A$10:$A$25,'Rango etareo'!$B$10:$B$25,,-1)</f>
        <v>36 - 45</v>
      </c>
      <c r="M691" s="3" t="s">
        <v>21</v>
      </c>
      <c r="N691" s="3" t="str">
        <f>IF(crimenes_cordoba_ampliado[[#This Row],[Género Delincuente]]="Femenino","🚺","🚹")</f>
        <v>🚺</v>
      </c>
      <c r="O691">
        <v>2</v>
      </c>
      <c r="P691" s="1">
        <v>24150</v>
      </c>
      <c r="Q691" s="7">
        <f>INT((crimenes_cordoba_ampliado[[#This Row],[Fecha]]-crimenes_cordoba_ampliado[[#This Row],[Fecha Nac. Víctima]])/365)</f>
        <v>58</v>
      </c>
      <c r="R691" s="7" t="str">
        <f>_xlfn.XLOOKUP(crimenes_cordoba_ampliado[[#This Row],[EDAD VICTIMA]],'Rango etareo'!$A$2:$A$25,'Rango etareo'!$B$2:$B$25,,-1)</f>
        <v>56 - 65</v>
      </c>
      <c r="S691" s="3" t="s">
        <v>21</v>
      </c>
      <c r="T691" s="3" t="str">
        <f>IF(crimenes_cordoba_ampliado[[#This Row],[Género Víctima]]="Masculino","🚹","🚺")</f>
        <v>🚺</v>
      </c>
      <c r="U691">
        <v>3</v>
      </c>
      <c r="V691" s="3" t="s">
        <v>23</v>
      </c>
      <c r="W691" s="3" t="s">
        <v>24</v>
      </c>
      <c r="X691" s="3" t="s">
        <v>24</v>
      </c>
      <c r="Y691" s="3" t="s">
        <v>39</v>
      </c>
      <c r="Z691" s="3" t="s">
        <v>25</v>
      </c>
      <c r="AA691" s="3" t="s">
        <v>23</v>
      </c>
      <c r="AB691" s="3" t="str">
        <f>IF(crimenes_cordoba_ampliado[[#This Row],[Hubo Arresto]]="Sí", "Resuelto", "Pendiente")</f>
        <v>Resuelto</v>
      </c>
      <c r="AC691" s="3" t="s">
        <v>204</v>
      </c>
      <c r="AD691" s="3"/>
    </row>
    <row r="692" spans="1:30" x14ac:dyDescent="0.25">
      <c r="A692">
        <v>768</v>
      </c>
      <c r="B692" s="1">
        <v>44598</v>
      </c>
      <c r="C692" s="33">
        <f t="shared" si="20"/>
        <v>44598</v>
      </c>
      <c r="D692" s="34">
        <f t="shared" si="21"/>
        <v>44598</v>
      </c>
      <c r="E692" s="35" t="s">
        <v>1449</v>
      </c>
      <c r="F692" s="2">
        <v>9.0277777777777769E-3</v>
      </c>
      <c r="G692" s="3" t="s">
        <v>79</v>
      </c>
      <c r="H692" s="3" t="s">
        <v>65</v>
      </c>
      <c r="I692" s="25" t="str">
        <f>VLOOKUP(H692,Tabla5[#All],4,FALSE)</f>
        <v>-31,4285567311661, -64,1853198281007</v>
      </c>
      <c r="J692" s="1">
        <v>27662</v>
      </c>
      <c r="K692" s="7">
        <f>INT((crimenes_cordoba_ampliado[[#This Row],[Fecha]]-crimenes_cordoba_ampliado[[#This Row],[Fecha Nac. Delincuente]])/365)</f>
        <v>46</v>
      </c>
      <c r="L692" s="7" t="str">
        <f>_xlfn.XLOOKUP(crimenes_cordoba_ampliado[[#This Row],[EDAD DELINCUENTE]],'Rango etareo'!$A$10:$A$25,'Rango etareo'!$B$10:$B$25,,-1)</f>
        <v>46 - 55</v>
      </c>
      <c r="M692" s="3" t="s">
        <v>21</v>
      </c>
      <c r="N692" s="3" t="str">
        <f>IF(crimenes_cordoba_ampliado[[#This Row],[Género Delincuente]]="Femenino","🚺","🚹")</f>
        <v>🚺</v>
      </c>
      <c r="O692">
        <v>2</v>
      </c>
      <c r="P692" s="1">
        <v>23753</v>
      </c>
      <c r="Q692" s="7">
        <f>INT((crimenes_cordoba_ampliado[[#This Row],[Fecha]]-crimenes_cordoba_ampliado[[#This Row],[Fecha Nac. Víctima]])/365)</f>
        <v>57</v>
      </c>
      <c r="R692" s="7" t="str">
        <f>_xlfn.XLOOKUP(crimenes_cordoba_ampliado[[#This Row],[EDAD VICTIMA]],'Rango etareo'!$A$2:$A$25,'Rango etareo'!$B$2:$B$25,,-1)</f>
        <v>56 - 65</v>
      </c>
      <c r="S692" s="3" t="s">
        <v>22</v>
      </c>
      <c r="T692" s="3" t="str">
        <f>IF(crimenes_cordoba_ampliado[[#This Row],[Género Víctima]]="Masculino","🚹","🚺")</f>
        <v>🚹</v>
      </c>
      <c r="U692">
        <v>2</v>
      </c>
      <c r="V692" s="3" t="s">
        <v>25</v>
      </c>
      <c r="W692" s="3" t="s">
        <v>24</v>
      </c>
      <c r="X692" s="3" t="s">
        <v>24</v>
      </c>
      <c r="Y692" s="3" t="s">
        <v>24</v>
      </c>
      <c r="Z692" s="3" t="s">
        <v>25</v>
      </c>
      <c r="AA692" s="3" t="s">
        <v>23</v>
      </c>
      <c r="AB692" s="3" t="str">
        <f>IF(crimenes_cordoba_ampliado[[#This Row],[Hubo Arresto]]="Sí", "Resuelto", "Pendiente")</f>
        <v>Pendiente</v>
      </c>
      <c r="AC692" s="3" t="s">
        <v>24</v>
      </c>
      <c r="AD692" s="3"/>
    </row>
    <row r="693" spans="1:30" x14ac:dyDescent="0.25">
      <c r="A693">
        <v>686</v>
      </c>
      <c r="B693" s="1">
        <v>42997</v>
      </c>
      <c r="C693" s="33">
        <f t="shared" si="20"/>
        <v>42997</v>
      </c>
      <c r="D693" s="34">
        <f t="shared" si="21"/>
        <v>42997</v>
      </c>
      <c r="E693" s="35" t="s">
        <v>1453</v>
      </c>
      <c r="F693" s="2">
        <v>0.40347222222222223</v>
      </c>
      <c r="G693" s="3" t="s">
        <v>19</v>
      </c>
      <c r="H693" s="3" t="s">
        <v>65</v>
      </c>
      <c r="I693" s="25" t="str">
        <f>VLOOKUP(H693,Tabla5[#All],4,FALSE)</f>
        <v>-31,4285567311661, -64,1853198281007</v>
      </c>
      <c r="J693" s="1">
        <v>36942</v>
      </c>
      <c r="K693" s="7">
        <f>INT((crimenes_cordoba_ampliado[[#This Row],[Fecha]]-crimenes_cordoba_ampliado[[#This Row],[Fecha Nac. Delincuente]])/365)</f>
        <v>16</v>
      </c>
      <c r="L693" s="7" t="str">
        <f>_xlfn.XLOOKUP(crimenes_cordoba_ampliado[[#This Row],[EDAD DELINCUENTE]],'Rango etareo'!$A$10:$A$25,'Rango etareo'!$B$10:$B$25,,-1)</f>
        <v>&lt;=17</v>
      </c>
      <c r="M693" s="3" t="s">
        <v>22</v>
      </c>
      <c r="N693" s="3" t="str">
        <f>IF(crimenes_cordoba_ampliado[[#This Row],[Género Delincuente]]="Femenino","🚺","🚹")</f>
        <v>🚹</v>
      </c>
      <c r="O693">
        <v>4</v>
      </c>
      <c r="P693" s="1">
        <v>40673</v>
      </c>
      <c r="Q693" s="7">
        <f>INT((crimenes_cordoba_ampliado[[#This Row],[Fecha]]-crimenes_cordoba_ampliado[[#This Row],[Fecha Nac. Víctima]])/365)</f>
        <v>6</v>
      </c>
      <c r="R693" s="7" t="str">
        <f>_xlfn.XLOOKUP(crimenes_cordoba_ampliado[[#This Row],[EDAD VICTIMA]],'Rango etareo'!$A$2:$A$25,'Rango etareo'!$B$2:$B$25,,-1)</f>
        <v>&lt;=17</v>
      </c>
      <c r="S693" s="3" t="s">
        <v>22</v>
      </c>
      <c r="T693" s="3" t="str">
        <f>IF(crimenes_cordoba_ampliado[[#This Row],[Género Víctima]]="Masculino","🚹","🚺")</f>
        <v>🚹</v>
      </c>
      <c r="U693">
        <v>2</v>
      </c>
      <c r="V693" s="3" t="s">
        <v>23</v>
      </c>
      <c r="W693" s="3" t="s">
        <v>24</v>
      </c>
      <c r="X693" s="3" t="s">
        <v>24</v>
      </c>
      <c r="Y693" s="3" t="s">
        <v>113</v>
      </c>
      <c r="Z693" s="3" t="s">
        <v>23</v>
      </c>
      <c r="AA693" s="3" t="s">
        <v>23</v>
      </c>
      <c r="AB693" s="3" t="str">
        <f>IF(crimenes_cordoba_ampliado[[#This Row],[Hubo Arresto]]="Sí", "Resuelto", "Pendiente")</f>
        <v>Resuelto</v>
      </c>
      <c r="AC693" s="3" t="s">
        <v>166</v>
      </c>
      <c r="AD693" s="3"/>
    </row>
    <row r="694" spans="1:30" x14ac:dyDescent="0.25">
      <c r="A694">
        <v>688</v>
      </c>
      <c r="B694" s="1">
        <v>42616</v>
      </c>
      <c r="C694" s="33">
        <f t="shared" si="20"/>
        <v>42616</v>
      </c>
      <c r="D694" s="34">
        <f t="shared" si="21"/>
        <v>42616</v>
      </c>
      <c r="E694" s="35" t="s">
        <v>1451</v>
      </c>
      <c r="F694" s="2">
        <v>0.48402777777777778</v>
      </c>
      <c r="G694" s="3" t="s">
        <v>45</v>
      </c>
      <c r="H694" s="3" t="s">
        <v>65</v>
      </c>
      <c r="I694" s="25" t="str">
        <f>VLOOKUP(H694,Tabla5[#All],4,FALSE)</f>
        <v>-31,4285567311661, -64,1853198281007</v>
      </c>
      <c r="J694" s="1">
        <v>28652</v>
      </c>
      <c r="K694" s="7">
        <f>INT((crimenes_cordoba_ampliado[[#This Row],[Fecha]]-crimenes_cordoba_ampliado[[#This Row],[Fecha Nac. Delincuente]])/365)</f>
        <v>38</v>
      </c>
      <c r="L694" s="7" t="str">
        <f>_xlfn.XLOOKUP(crimenes_cordoba_ampliado[[#This Row],[EDAD DELINCUENTE]],'Rango etareo'!$A$10:$A$25,'Rango etareo'!$B$10:$B$25,,-1)</f>
        <v>36 - 45</v>
      </c>
      <c r="M694" s="3" t="s">
        <v>21</v>
      </c>
      <c r="N694" s="3" t="str">
        <f>IF(crimenes_cordoba_ampliado[[#This Row],[Género Delincuente]]="Femenino","🚺","🚹")</f>
        <v>🚺</v>
      </c>
      <c r="O694">
        <v>1</v>
      </c>
      <c r="P694" s="1">
        <v>17832</v>
      </c>
      <c r="Q694" s="7">
        <f>INT((crimenes_cordoba_ampliado[[#This Row],[Fecha]]-crimenes_cordoba_ampliado[[#This Row],[Fecha Nac. Víctima]])/365)</f>
        <v>67</v>
      </c>
      <c r="R694" s="7" t="str">
        <f>_xlfn.XLOOKUP(crimenes_cordoba_ampliado[[#This Row],[EDAD VICTIMA]],'Rango etareo'!$A$2:$A$25,'Rango etareo'!$B$2:$B$25,,-1)</f>
        <v>&gt;65</v>
      </c>
      <c r="S694" s="3" t="s">
        <v>21</v>
      </c>
      <c r="T694" s="3" t="str">
        <f>IF(crimenes_cordoba_ampliado[[#This Row],[Género Víctima]]="Masculino","🚹","🚺")</f>
        <v>🚺</v>
      </c>
      <c r="U694">
        <v>2</v>
      </c>
      <c r="V694" s="3" t="s">
        <v>23</v>
      </c>
      <c r="W694" s="3" t="s">
        <v>24</v>
      </c>
      <c r="X694" s="3" t="s">
        <v>24</v>
      </c>
      <c r="Y694" s="3" t="s">
        <v>56</v>
      </c>
      <c r="Z694" s="3" t="s">
        <v>25</v>
      </c>
      <c r="AA694" s="3" t="s">
        <v>23</v>
      </c>
      <c r="AB694" s="3" t="str">
        <f>IF(crimenes_cordoba_ampliado[[#This Row],[Hubo Arresto]]="Sí", "Resuelto", "Pendiente")</f>
        <v>Resuelto</v>
      </c>
      <c r="AC694" s="3" t="s">
        <v>289</v>
      </c>
      <c r="AD694" s="3"/>
    </row>
    <row r="695" spans="1:30" x14ac:dyDescent="0.25">
      <c r="A695">
        <v>742</v>
      </c>
      <c r="B695" s="1">
        <v>44607</v>
      </c>
      <c r="C695" s="33">
        <f t="shared" si="20"/>
        <v>44607</v>
      </c>
      <c r="D695" s="34">
        <f t="shared" si="21"/>
        <v>44607</v>
      </c>
      <c r="E695" s="35" t="s">
        <v>1453</v>
      </c>
      <c r="F695" s="2">
        <v>0.64097222222222228</v>
      </c>
      <c r="G695" s="3" t="s">
        <v>51</v>
      </c>
      <c r="H695" s="3" t="s">
        <v>65</v>
      </c>
      <c r="I695" s="25" t="str">
        <f>VLOOKUP(H695,Tabla5[#All],4,FALSE)</f>
        <v>-31,4285567311661, -64,1853198281007</v>
      </c>
      <c r="J695" s="1">
        <v>18772</v>
      </c>
      <c r="K695" s="7">
        <f>INT((crimenes_cordoba_ampliado[[#This Row],[Fecha]]-crimenes_cordoba_ampliado[[#This Row],[Fecha Nac. Delincuente]])/365)</f>
        <v>70</v>
      </c>
      <c r="L695" s="7" t="str">
        <f>_xlfn.XLOOKUP(crimenes_cordoba_ampliado[[#This Row],[EDAD DELINCUENTE]],'Rango etareo'!$A$10:$A$25,'Rango etareo'!$B$10:$B$25,,-1)</f>
        <v>&gt;65</v>
      </c>
      <c r="M695" s="3" t="s">
        <v>22</v>
      </c>
      <c r="N695" s="3" t="str">
        <f>IF(crimenes_cordoba_ampliado[[#This Row],[Género Delincuente]]="Femenino","🚺","🚹")</f>
        <v>🚹</v>
      </c>
      <c r="O695">
        <v>3</v>
      </c>
      <c r="P695" s="1">
        <v>17870</v>
      </c>
      <c r="Q695" s="7">
        <f>INT((crimenes_cordoba_ampliado[[#This Row],[Fecha]]-crimenes_cordoba_ampliado[[#This Row],[Fecha Nac. Víctima]])/365)</f>
        <v>73</v>
      </c>
      <c r="R695" s="7" t="str">
        <f>_xlfn.XLOOKUP(crimenes_cordoba_ampliado[[#This Row],[EDAD VICTIMA]],'Rango etareo'!$A$2:$A$25,'Rango etareo'!$B$2:$B$25,,-1)</f>
        <v>&gt;65</v>
      </c>
      <c r="S695" s="3" t="s">
        <v>21</v>
      </c>
      <c r="T695" s="3" t="str">
        <f>IF(crimenes_cordoba_ampliado[[#This Row],[Género Víctima]]="Masculino","🚹","🚺")</f>
        <v>🚺</v>
      </c>
      <c r="U695">
        <v>2</v>
      </c>
      <c r="V695" s="3" t="s">
        <v>25</v>
      </c>
      <c r="W695" s="3" t="s">
        <v>24</v>
      </c>
      <c r="X695" s="3" t="s">
        <v>24</v>
      </c>
      <c r="Y695" s="3" t="s">
        <v>72</v>
      </c>
      <c r="Z695" s="3" t="s">
        <v>25</v>
      </c>
      <c r="AA695" s="3" t="s">
        <v>25</v>
      </c>
      <c r="AB695" s="3" t="str">
        <f>IF(crimenes_cordoba_ampliado[[#This Row],[Hubo Arresto]]="Sí", "Resuelto", "Pendiente")</f>
        <v>Pendiente</v>
      </c>
      <c r="AC695" s="3" t="s">
        <v>24</v>
      </c>
      <c r="AD695" s="3"/>
    </row>
    <row r="696" spans="1:30" x14ac:dyDescent="0.25">
      <c r="A696">
        <v>837</v>
      </c>
      <c r="B696" s="1">
        <v>44607</v>
      </c>
      <c r="C696" s="33">
        <f t="shared" si="20"/>
        <v>44607</v>
      </c>
      <c r="D696" s="34">
        <f t="shared" si="21"/>
        <v>44607</v>
      </c>
      <c r="E696" s="35" t="s">
        <v>1453</v>
      </c>
      <c r="F696" s="2">
        <v>0.70138888888888884</v>
      </c>
      <c r="G696" s="3" t="s">
        <v>54</v>
      </c>
      <c r="H696" s="3" t="s">
        <v>40</v>
      </c>
      <c r="I696" s="25" t="str">
        <f>VLOOKUP(H696,Tabla5[#All],4,FALSE)</f>
        <v>-31,334500143441, -64,2460773260564</v>
      </c>
      <c r="J696" s="1">
        <v>31569</v>
      </c>
      <c r="K696" s="7">
        <f>INT((crimenes_cordoba_ampliado[[#This Row],[Fecha]]-crimenes_cordoba_ampliado[[#This Row],[Fecha Nac. Delincuente]])/365)</f>
        <v>35</v>
      </c>
      <c r="L696" s="7" t="str">
        <f>_xlfn.XLOOKUP(crimenes_cordoba_ampliado[[#This Row],[EDAD DELINCUENTE]],'Rango etareo'!$A$10:$A$25,'Rango etareo'!$B$10:$B$25,,-1)</f>
        <v>26 - 35</v>
      </c>
      <c r="M696" s="3" t="s">
        <v>22</v>
      </c>
      <c r="N696" s="3" t="str">
        <f>IF(crimenes_cordoba_ampliado[[#This Row],[Género Delincuente]]="Femenino","🚺","🚹")</f>
        <v>🚹</v>
      </c>
      <c r="O696">
        <v>1</v>
      </c>
      <c r="P696" s="1">
        <v>32285</v>
      </c>
      <c r="Q696" s="7">
        <f>INT((crimenes_cordoba_ampliado[[#This Row],[Fecha]]-crimenes_cordoba_ampliado[[#This Row],[Fecha Nac. Víctima]])/365)</f>
        <v>33</v>
      </c>
      <c r="R696" s="7" t="str">
        <f>_xlfn.XLOOKUP(crimenes_cordoba_ampliado[[#This Row],[EDAD VICTIMA]],'Rango etareo'!$A$2:$A$25,'Rango etareo'!$B$2:$B$25,,-1)</f>
        <v>26 - 35</v>
      </c>
      <c r="S696" s="3" t="s">
        <v>22</v>
      </c>
      <c r="T696" s="3" t="str">
        <f>IF(crimenes_cordoba_ampliado[[#This Row],[Género Víctima]]="Masculino","🚹","🚺")</f>
        <v>🚹</v>
      </c>
      <c r="U696">
        <v>2</v>
      </c>
      <c r="V696" s="3" t="s">
        <v>25</v>
      </c>
      <c r="W696" s="3" t="s">
        <v>24</v>
      </c>
      <c r="X696" s="3" t="s">
        <v>24</v>
      </c>
      <c r="Y696" s="3" t="s">
        <v>24</v>
      </c>
      <c r="Z696" s="3" t="s">
        <v>25</v>
      </c>
      <c r="AA696" s="3" t="s">
        <v>23</v>
      </c>
      <c r="AB696" s="3" t="str">
        <f>IF(crimenes_cordoba_ampliado[[#This Row],[Hubo Arresto]]="Sí", "Resuelto", "Pendiente")</f>
        <v>Pendiente</v>
      </c>
      <c r="AC696" s="3" t="s">
        <v>24</v>
      </c>
      <c r="AD696" s="3"/>
    </row>
    <row r="697" spans="1:30" x14ac:dyDescent="0.25">
      <c r="A697">
        <v>689</v>
      </c>
      <c r="B697" s="1">
        <v>43104</v>
      </c>
      <c r="C697" s="33">
        <f t="shared" si="20"/>
        <v>43104</v>
      </c>
      <c r="D697" s="34">
        <f t="shared" si="21"/>
        <v>43104</v>
      </c>
      <c r="E697" s="35" t="s">
        <v>1454</v>
      </c>
      <c r="F697" s="2">
        <v>0.64375000000000004</v>
      </c>
      <c r="G697" s="3" t="s">
        <v>48</v>
      </c>
      <c r="H697" s="3" t="s">
        <v>62</v>
      </c>
      <c r="I697" s="25" t="str">
        <f>VLOOKUP(H697,Tabla5[#All],4,FALSE)</f>
        <v>-31,3909520937826, -64,1836424491715</v>
      </c>
      <c r="J697" s="1">
        <v>19794</v>
      </c>
      <c r="K697" s="7">
        <f>INT((crimenes_cordoba_ampliado[[#This Row],[Fecha]]-crimenes_cordoba_ampliado[[#This Row],[Fecha Nac. Delincuente]])/365)</f>
        <v>63</v>
      </c>
      <c r="L697" s="7" t="str">
        <f>_xlfn.XLOOKUP(crimenes_cordoba_ampliado[[#This Row],[EDAD DELINCUENTE]],'Rango etareo'!$A$10:$A$25,'Rango etareo'!$B$10:$B$25,,-1)</f>
        <v>56 - 65</v>
      </c>
      <c r="M697" s="3" t="s">
        <v>22</v>
      </c>
      <c r="N697" s="3" t="str">
        <f>IF(crimenes_cordoba_ampliado[[#This Row],[Género Delincuente]]="Femenino","🚺","🚹")</f>
        <v>🚹</v>
      </c>
      <c r="O697">
        <v>4</v>
      </c>
      <c r="P697" s="1">
        <v>33308</v>
      </c>
      <c r="Q697" s="7">
        <f>INT((crimenes_cordoba_ampliado[[#This Row],[Fecha]]-crimenes_cordoba_ampliado[[#This Row],[Fecha Nac. Víctima]])/365)</f>
        <v>26</v>
      </c>
      <c r="R697" s="7" t="str">
        <f>_xlfn.XLOOKUP(crimenes_cordoba_ampliado[[#This Row],[EDAD VICTIMA]],'Rango etareo'!$A$2:$A$25,'Rango etareo'!$B$2:$B$25,,-1)</f>
        <v>26 - 35</v>
      </c>
      <c r="S697" s="3" t="s">
        <v>21</v>
      </c>
      <c r="T697" s="3" t="str">
        <f>IF(crimenes_cordoba_ampliado[[#This Row],[Género Víctima]]="Masculino","🚹","🚺")</f>
        <v>🚺</v>
      </c>
      <c r="U697">
        <v>3</v>
      </c>
      <c r="V697" s="3" t="s">
        <v>23</v>
      </c>
      <c r="W697" s="3" t="s">
        <v>24</v>
      </c>
      <c r="X697" s="3" t="s">
        <v>24</v>
      </c>
      <c r="Y697" s="3" t="s">
        <v>89</v>
      </c>
      <c r="Z697" s="3" t="s">
        <v>23</v>
      </c>
      <c r="AA697" s="3" t="s">
        <v>25</v>
      </c>
      <c r="AB697" s="3" t="str">
        <f>IF(crimenes_cordoba_ampliado[[#This Row],[Hubo Arresto]]="Sí", "Resuelto", "Pendiente")</f>
        <v>Resuelto</v>
      </c>
      <c r="AC697" s="3" t="s">
        <v>290</v>
      </c>
      <c r="AD697" s="3"/>
    </row>
    <row r="698" spans="1:30" x14ac:dyDescent="0.25">
      <c r="A698">
        <v>693</v>
      </c>
      <c r="B698" s="1">
        <v>44611</v>
      </c>
      <c r="C698" s="33">
        <f t="shared" si="20"/>
        <v>44611</v>
      </c>
      <c r="D698" s="34">
        <f t="shared" si="21"/>
        <v>44611</v>
      </c>
      <c r="E698" s="35" t="s">
        <v>1451</v>
      </c>
      <c r="F698" s="2">
        <v>0.42291666666666666</v>
      </c>
      <c r="G698" s="3" t="s">
        <v>42</v>
      </c>
      <c r="H698" s="3" t="s">
        <v>32</v>
      </c>
      <c r="I698" s="25" t="str">
        <f>VLOOKUP(H698,Tabla5[#All],4,FALSE)</f>
        <v>-31,4148488101991, -64,1793406489438</v>
      </c>
      <c r="J698" s="1">
        <v>24919</v>
      </c>
      <c r="K698" s="7">
        <f>INT((crimenes_cordoba_ampliado[[#This Row],[Fecha]]-crimenes_cordoba_ampliado[[#This Row],[Fecha Nac. Delincuente]])/365)</f>
        <v>53</v>
      </c>
      <c r="L698" s="7" t="str">
        <f>_xlfn.XLOOKUP(crimenes_cordoba_ampliado[[#This Row],[EDAD DELINCUENTE]],'Rango etareo'!$A$10:$A$25,'Rango etareo'!$B$10:$B$25,,-1)</f>
        <v>46 - 55</v>
      </c>
      <c r="M698" s="3" t="s">
        <v>21</v>
      </c>
      <c r="N698" s="3" t="str">
        <f>IF(crimenes_cordoba_ampliado[[#This Row],[Género Delincuente]]="Femenino","🚺","🚹")</f>
        <v>🚺</v>
      </c>
      <c r="O698">
        <v>4</v>
      </c>
      <c r="P698" s="1">
        <v>25928</v>
      </c>
      <c r="Q698" s="7">
        <f>INT((crimenes_cordoba_ampliado[[#This Row],[Fecha]]-crimenes_cordoba_ampliado[[#This Row],[Fecha Nac. Víctima]])/365)</f>
        <v>51</v>
      </c>
      <c r="R698" s="7" t="str">
        <f>_xlfn.XLOOKUP(crimenes_cordoba_ampliado[[#This Row],[EDAD VICTIMA]],'Rango etareo'!$A$2:$A$25,'Rango etareo'!$B$2:$B$25,,-1)</f>
        <v>46 - 55</v>
      </c>
      <c r="S698" s="3" t="s">
        <v>21</v>
      </c>
      <c r="T698" s="3" t="str">
        <f>IF(crimenes_cordoba_ampliado[[#This Row],[Género Víctima]]="Masculino","🚹","🚺")</f>
        <v>🚺</v>
      </c>
      <c r="U698">
        <v>3</v>
      </c>
      <c r="V698" s="3" t="s">
        <v>23</v>
      </c>
      <c r="W698" s="3" t="s">
        <v>24</v>
      </c>
      <c r="X698" s="3" t="s">
        <v>24</v>
      </c>
      <c r="Y698" s="3" t="s">
        <v>53</v>
      </c>
      <c r="Z698" s="3" t="s">
        <v>23</v>
      </c>
      <c r="AA698" s="3" t="s">
        <v>23</v>
      </c>
      <c r="AB698" s="3" t="str">
        <f>IF(crimenes_cordoba_ampliado[[#This Row],[Hubo Arresto]]="Sí", "Resuelto", "Pendiente")</f>
        <v>Resuelto</v>
      </c>
      <c r="AC698" s="3" t="s">
        <v>126</v>
      </c>
      <c r="AD698" s="3"/>
    </row>
    <row r="699" spans="1:30" x14ac:dyDescent="0.25">
      <c r="A699">
        <v>696</v>
      </c>
      <c r="B699" s="1">
        <v>42665</v>
      </c>
      <c r="C699" s="33">
        <f t="shared" si="20"/>
        <v>42665</v>
      </c>
      <c r="D699" s="34">
        <f t="shared" si="21"/>
        <v>42665</v>
      </c>
      <c r="E699" s="35" t="s">
        <v>1451</v>
      </c>
      <c r="F699" s="2">
        <v>0.94166666666666665</v>
      </c>
      <c r="G699" s="3" t="s">
        <v>54</v>
      </c>
      <c r="H699" s="3" t="s">
        <v>32</v>
      </c>
      <c r="I699" s="25" t="str">
        <f>VLOOKUP(H699,Tabla5[#All],4,FALSE)</f>
        <v>-31,4148488101991, -64,1793406489438</v>
      </c>
      <c r="J699" s="1">
        <v>19485</v>
      </c>
      <c r="K699" s="7">
        <f>INT((crimenes_cordoba_ampliado[[#This Row],[Fecha]]-crimenes_cordoba_ampliado[[#This Row],[Fecha Nac. Delincuente]])/365)</f>
        <v>63</v>
      </c>
      <c r="L699" s="7" t="str">
        <f>_xlfn.XLOOKUP(crimenes_cordoba_ampliado[[#This Row],[EDAD DELINCUENTE]],'Rango etareo'!$A$10:$A$25,'Rango etareo'!$B$10:$B$25,,-1)</f>
        <v>56 - 65</v>
      </c>
      <c r="M699" s="3" t="s">
        <v>21</v>
      </c>
      <c r="N699" s="3" t="str">
        <f>IF(crimenes_cordoba_ampliado[[#This Row],[Género Delincuente]]="Femenino","🚺","🚹")</f>
        <v>🚺</v>
      </c>
      <c r="O699">
        <v>4</v>
      </c>
      <c r="P699" s="1">
        <v>19121</v>
      </c>
      <c r="Q699" s="7">
        <f>INT((crimenes_cordoba_ampliado[[#This Row],[Fecha]]-crimenes_cordoba_ampliado[[#This Row],[Fecha Nac. Víctima]])/365)</f>
        <v>64</v>
      </c>
      <c r="R699" s="7" t="str">
        <f>_xlfn.XLOOKUP(crimenes_cordoba_ampliado[[#This Row],[EDAD VICTIMA]],'Rango etareo'!$A$2:$A$25,'Rango etareo'!$B$2:$B$25,,-1)</f>
        <v>56 - 65</v>
      </c>
      <c r="S699" s="3" t="s">
        <v>21</v>
      </c>
      <c r="T699" s="3" t="str">
        <f>IF(crimenes_cordoba_ampliado[[#This Row],[Género Víctima]]="Masculino","🚹","🚺")</f>
        <v>🚺</v>
      </c>
      <c r="U699">
        <v>2</v>
      </c>
      <c r="V699" s="3" t="s">
        <v>23</v>
      </c>
      <c r="W699" s="3" t="s">
        <v>63</v>
      </c>
      <c r="X699" s="3" t="s">
        <v>50</v>
      </c>
      <c r="Y699" s="3" t="s">
        <v>24</v>
      </c>
      <c r="Z699" s="3" t="s">
        <v>23</v>
      </c>
      <c r="AA699" s="3" t="s">
        <v>23</v>
      </c>
      <c r="AB699" s="3" t="str">
        <f>IF(crimenes_cordoba_ampliado[[#This Row],[Hubo Arresto]]="Sí", "Resuelto", "Pendiente")</f>
        <v>Resuelto</v>
      </c>
      <c r="AC699" s="3" t="s">
        <v>57</v>
      </c>
      <c r="AD699" s="3"/>
    </row>
    <row r="700" spans="1:30" x14ac:dyDescent="0.25">
      <c r="A700">
        <v>958</v>
      </c>
      <c r="B700" s="1">
        <v>44628</v>
      </c>
      <c r="C700" s="33">
        <f t="shared" si="20"/>
        <v>44628</v>
      </c>
      <c r="D700" s="34">
        <f t="shared" si="21"/>
        <v>44628</v>
      </c>
      <c r="E700" s="35" t="s">
        <v>1453</v>
      </c>
      <c r="F700" s="2">
        <v>0.42569444444444443</v>
      </c>
      <c r="G700" s="3" t="s">
        <v>31</v>
      </c>
      <c r="H700" s="3" t="s">
        <v>40</v>
      </c>
      <c r="I700" s="25" t="str">
        <f>VLOOKUP(H700,Tabla5[#All],4,FALSE)</f>
        <v>-31,334500143441, -64,2460773260564</v>
      </c>
      <c r="J700" s="1">
        <v>31595</v>
      </c>
      <c r="K700" s="7">
        <f>INT((crimenes_cordoba_ampliado[[#This Row],[Fecha]]-crimenes_cordoba_ampliado[[#This Row],[Fecha Nac. Delincuente]])/365)</f>
        <v>35</v>
      </c>
      <c r="L700" s="7" t="str">
        <f>_xlfn.XLOOKUP(crimenes_cordoba_ampliado[[#This Row],[EDAD DELINCUENTE]],'Rango etareo'!$A$10:$A$25,'Rango etareo'!$B$10:$B$25,,-1)</f>
        <v>26 - 35</v>
      </c>
      <c r="M700" s="3" t="s">
        <v>22</v>
      </c>
      <c r="N700" s="3" t="str">
        <f>IF(crimenes_cordoba_ampliado[[#This Row],[Género Delincuente]]="Femenino","🚺","🚹")</f>
        <v>🚹</v>
      </c>
      <c r="O700">
        <v>2</v>
      </c>
      <c r="P700" s="1">
        <v>24511</v>
      </c>
      <c r="Q700" s="7">
        <f>INT((crimenes_cordoba_ampliado[[#This Row],[Fecha]]-crimenes_cordoba_ampliado[[#This Row],[Fecha Nac. Víctima]])/365)</f>
        <v>55</v>
      </c>
      <c r="R700" s="7" t="str">
        <f>_xlfn.XLOOKUP(crimenes_cordoba_ampliado[[#This Row],[EDAD VICTIMA]],'Rango etareo'!$A$2:$A$25,'Rango etareo'!$B$2:$B$25,,-1)</f>
        <v>46 - 55</v>
      </c>
      <c r="S700" s="3" t="s">
        <v>22</v>
      </c>
      <c r="T700" s="3" t="str">
        <f>IF(crimenes_cordoba_ampliado[[#This Row],[Género Víctima]]="Masculino","🚹","🚺")</f>
        <v>🚹</v>
      </c>
      <c r="U700">
        <v>3</v>
      </c>
      <c r="V700" s="3" t="s">
        <v>25</v>
      </c>
      <c r="W700" s="3" t="s">
        <v>24</v>
      </c>
      <c r="X700" s="3" t="s">
        <v>24</v>
      </c>
      <c r="Y700" s="3" t="s">
        <v>43</v>
      </c>
      <c r="Z700" s="3" t="s">
        <v>23</v>
      </c>
      <c r="AA700" s="3" t="s">
        <v>25</v>
      </c>
      <c r="AB700" s="3" t="str">
        <f>IF(crimenes_cordoba_ampliado[[#This Row],[Hubo Arresto]]="Sí", "Resuelto", "Pendiente")</f>
        <v>Pendiente</v>
      </c>
      <c r="AC700" s="3" t="s">
        <v>24</v>
      </c>
      <c r="AD700" s="3"/>
    </row>
    <row r="701" spans="1:30" x14ac:dyDescent="0.25">
      <c r="A701">
        <v>698</v>
      </c>
      <c r="B701" s="1">
        <v>44206</v>
      </c>
      <c r="C701" s="33">
        <f t="shared" si="20"/>
        <v>44206</v>
      </c>
      <c r="D701" s="34">
        <f t="shared" si="21"/>
        <v>44206</v>
      </c>
      <c r="E701" s="35" t="s">
        <v>1449</v>
      </c>
      <c r="F701" s="2">
        <v>0.53680555555555554</v>
      </c>
      <c r="G701" s="3" t="s">
        <v>48</v>
      </c>
      <c r="H701" s="3" t="s">
        <v>65</v>
      </c>
      <c r="I701" s="25" t="str">
        <f>VLOOKUP(H701,Tabla5[#All],4,FALSE)</f>
        <v>-31,4285567311661, -64,1853198281007</v>
      </c>
      <c r="J701" s="1">
        <v>26131</v>
      </c>
      <c r="K701" s="7">
        <f>INT((crimenes_cordoba_ampliado[[#This Row],[Fecha]]-crimenes_cordoba_ampliado[[#This Row],[Fecha Nac. Delincuente]])/365)</f>
        <v>49</v>
      </c>
      <c r="L701" s="7" t="str">
        <f>_xlfn.XLOOKUP(crimenes_cordoba_ampliado[[#This Row],[EDAD DELINCUENTE]],'Rango etareo'!$A$10:$A$25,'Rango etareo'!$B$10:$B$25,,-1)</f>
        <v>46 - 55</v>
      </c>
      <c r="M701" s="3" t="s">
        <v>21</v>
      </c>
      <c r="N701" s="3" t="str">
        <f>IF(crimenes_cordoba_ampliado[[#This Row],[Género Delincuente]]="Femenino","🚺","🚹")</f>
        <v>🚺</v>
      </c>
      <c r="O701">
        <v>2</v>
      </c>
      <c r="P701" s="1">
        <v>40777</v>
      </c>
      <c r="Q701" s="7">
        <f>INT((crimenes_cordoba_ampliado[[#This Row],[Fecha]]-crimenes_cordoba_ampliado[[#This Row],[Fecha Nac. Víctima]])/365)</f>
        <v>9</v>
      </c>
      <c r="R701" s="7" t="str">
        <f>_xlfn.XLOOKUP(crimenes_cordoba_ampliado[[#This Row],[EDAD VICTIMA]],'Rango etareo'!$A$2:$A$25,'Rango etareo'!$B$2:$B$25,,-1)</f>
        <v>&lt;=17</v>
      </c>
      <c r="S701" s="3" t="s">
        <v>21</v>
      </c>
      <c r="T701" s="3" t="str">
        <f>IF(crimenes_cordoba_ampliado[[#This Row],[Género Víctima]]="Masculino","🚹","🚺")</f>
        <v>🚺</v>
      </c>
      <c r="U701">
        <v>1</v>
      </c>
      <c r="V701" s="3" t="s">
        <v>23</v>
      </c>
      <c r="W701" s="3" t="s">
        <v>24</v>
      </c>
      <c r="X701" s="3" t="s">
        <v>24</v>
      </c>
      <c r="Y701" s="3" t="s">
        <v>39</v>
      </c>
      <c r="Z701" s="3" t="s">
        <v>25</v>
      </c>
      <c r="AA701" s="3" t="s">
        <v>25</v>
      </c>
      <c r="AB701" s="3" t="str">
        <f>IF(crimenes_cordoba_ampliado[[#This Row],[Hubo Arresto]]="Sí", "Resuelto", "Pendiente")</f>
        <v>Resuelto</v>
      </c>
      <c r="AC701" s="3" t="s">
        <v>264</v>
      </c>
      <c r="AD701" s="3"/>
    </row>
    <row r="702" spans="1:30" x14ac:dyDescent="0.25">
      <c r="A702">
        <v>211</v>
      </c>
      <c r="B702" s="1">
        <v>44629</v>
      </c>
      <c r="C702" s="33">
        <f t="shared" si="20"/>
        <v>44629</v>
      </c>
      <c r="D702" s="34">
        <f t="shared" si="21"/>
        <v>44629</v>
      </c>
      <c r="E702" s="35" t="s">
        <v>1450</v>
      </c>
      <c r="F702" s="2">
        <v>0.67083333333333328</v>
      </c>
      <c r="G702" s="3" t="s">
        <v>45</v>
      </c>
      <c r="H702" s="3" t="s">
        <v>55</v>
      </c>
      <c r="I702" s="25" t="str">
        <f>VLOOKUP(H702,Tabla5[#All],4,FALSE)</f>
        <v>-31,4015892433235, -64,160442876477</v>
      </c>
      <c r="J702" s="1">
        <v>34691</v>
      </c>
      <c r="K702" s="7">
        <f>INT((crimenes_cordoba_ampliado[[#This Row],[Fecha]]-crimenes_cordoba_ampliado[[#This Row],[Fecha Nac. Delincuente]])/365)</f>
        <v>27</v>
      </c>
      <c r="L702" s="7" t="str">
        <f>_xlfn.XLOOKUP(crimenes_cordoba_ampliado[[#This Row],[EDAD DELINCUENTE]],'Rango etareo'!$A$10:$A$25,'Rango etareo'!$B$10:$B$25,,-1)</f>
        <v>26 - 35</v>
      </c>
      <c r="M702" s="3" t="s">
        <v>22</v>
      </c>
      <c r="N702" s="3" t="str">
        <f>IF(crimenes_cordoba_ampliado[[#This Row],[Género Delincuente]]="Femenino","🚺","🚹")</f>
        <v>🚹</v>
      </c>
      <c r="O702">
        <v>5</v>
      </c>
      <c r="P702" s="1">
        <v>21414</v>
      </c>
      <c r="Q702" s="7">
        <f>INT((crimenes_cordoba_ampliado[[#This Row],[Fecha]]-crimenes_cordoba_ampliado[[#This Row],[Fecha Nac. Víctima]])/365)</f>
        <v>63</v>
      </c>
      <c r="R702" s="7" t="str">
        <f>_xlfn.XLOOKUP(crimenes_cordoba_ampliado[[#This Row],[EDAD VICTIMA]],'Rango etareo'!$A$2:$A$25,'Rango etareo'!$B$2:$B$25,,-1)</f>
        <v>56 - 65</v>
      </c>
      <c r="S702" s="3" t="s">
        <v>22</v>
      </c>
      <c r="T702" s="3" t="str">
        <f>IF(crimenes_cordoba_ampliado[[#This Row],[Género Víctima]]="Masculino","🚹","🚺")</f>
        <v>🚹</v>
      </c>
      <c r="U702">
        <v>1</v>
      </c>
      <c r="V702" s="3" t="s">
        <v>25</v>
      </c>
      <c r="W702" s="3" t="s">
        <v>24</v>
      </c>
      <c r="X702" s="3" t="s">
        <v>24</v>
      </c>
      <c r="Y702" s="3" t="s">
        <v>69</v>
      </c>
      <c r="Z702" s="3" t="s">
        <v>23</v>
      </c>
      <c r="AA702" s="3" t="s">
        <v>23</v>
      </c>
      <c r="AB702" s="3" t="str">
        <f>IF(crimenes_cordoba_ampliado[[#This Row],[Hubo Arresto]]="Sí", "Resuelto", "Pendiente")</f>
        <v>Pendiente</v>
      </c>
      <c r="AC702" s="3" t="s">
        <v>24</v>
      </c>
      <c r="AD702" s="3"/>
    </row>
    <row r="703" spans="1:30" x14ac:dyDescent="0.25">
      <c r="A703">
        <v>356</v>
      </c>
      <c r="B703" s="1">
        <v>44629</v>
      </c>
      <c r="C703" s="33">
        <f t="shared" si="20"/>
        <v>44629</v>
      </c>
      <c r="D703" s="34">
        <f t="shared" si="21"/>
        <v>44629</v>
      </c>
      <c r="E703" s="35" t="s">
        <v>1450</v>
      </c>
      <c r="F703" s="2">
        <v>0.43055555555555558</v>
      </c>
      <c r="G703" s="3" t="s">
        <v>48</v>
      </c>
      <c r="H703" s="3" t="s">
        <v>58</v>
      </c>
      <c r="I703" s="25" t="str">
        <f>VLOOKUP(H703,Tabla5[#All],4,FALSE)</f>
        <v>-31,423018915313, -64,1493562190664</v>
      </c>
      <c r="J703" s="1">
        <v>28188</v>
      </c>
      <c r="K703" s="7">
        <f>INT((crimenes_cordoba_ampliado[[#This Row],[Fecha]]-crimenes_cordoba_ampliado[[#This Row],[Fecha Nac. Delincuente]])/365)</f>
        <v>45</v>
      </c>
      <c r="L703" s="7" t="str">
        <f>_xlfn.XLOOKUP(crimenes_cordoba_ampliado[[#This Row],[EDAD DELINCUENTE]],'Rango etareo'!$A$10:$A$25,'Rango etareo'!$B$10:$B$25,,-1)</f>
        <v>36 - 45</v>
      </c>
      <c r="M703" s="3" t="s">
        <v>22</v>
      </c>
      <c r="N703" s="3" t="str">
        <f>IF(crimenes_cordoba_ampliado[[#This Row],[Género Delincuente]]="Femenino","🚺","🚹")</f>
        <v>🚹</v>
      </c>
      <c r="O703">
        <v>3</v>
      </c>
      <c r="P703" s="1">
        <v>20099</v>
      </c>
      <c r="Q703" s="7">
        <f>INT((crimenes_cordoba_ampliado[[#This Row],[Fecha]]-crimenes_cordoba_ampliado[[#This Row],[Fecha Nac. Víctima]])/365)</f>
        <v>67</v>
      </c>
      <c r="R703" s="7" t="str">
        <f>_xlfn.XLOOKUP(crimenes_cordoba_ampliado[[#This Row],[EDAD VICTIMA]],'Rango etareo'!$A$2:$A$25,'Rango etareo'!$B$2:$B$25,,-1)</f>
        <v>&gt;65</v>
      </c>
      <c r="S703" s="3" t="s">
        <v>22</v>
      </c>
      <c r="T703" s="3" t="str">
        <f>IF(crimenes_cordoba_ampliado[[#This Row],[Género Víctima]]="Masculino","🚹","🚺")</f>
        <v>🚹</v>
      </c>
      <c r="U703">
        <v>2</v>
      </c>
      <c r="V703" s="3" t="s">
        <v>25</v>
      </c>
      <c r="W703" s="3" t="s">
        <v>24</v>
      </c>
      <c r="X703" s="3" t="s">
        <v>24</v>
      </c>
      <c r="Y703" s="3" t="s">
        <v>53</v>
      </c>
      <c r="Z703" s="3" t="s">
        <v>25</v>
      </c>
      <c r="AA703" s="3" t="s">
        <v>25</v>
      </c>
      <c r="AB703" s="3" t="str">
        <f>IF(crimenes_cordoba_ampliado[[#This Row],[Hubo Arresto]]="Sí", "Resuelto", "Pendiente")</f>
        <v>Pendiente</v>
      </c>
      <c r="AC703" s="3" t="s">
        <v>24</v>
      </c>
      <c r="AD703" s="3"/>
    </row>
    <row r="704" spans="1:30" x14ac:dyDescent="0.25">
      <c r="A704">
        <v>699</v>
      </c>
      <c r="B704" s="1">
        <v>42743</v>
      </c>
      <c r="C704" s="33">
        <f t="shared" si="20"/>
        <v>42743</v>
      </c>
      <c r="D704" s="34">
        <f t="shared" si="21"/>
        <v>42743</v>
      </c>
      <c r="E704" s="35" t="s">
        <v>1449</v>
      </c>
      <c r="F704" s="2">
        <v>0.11180555555555556</v>
      </c>
      <c r="G704" s="3" t="s">
        <v>54</v>
      </c>
      <c r="H704" s="3" t="s">
        <v>60</v>
      </c>
      <c r="I704" s="25" t="str">
        <f>VLOOKUP(H704,Tabla5[#All],4,FALSE)</f>
        <v>-31,4076397196409, -64,2020170430678</v>
      </c>
      <c r="J704" s="1">
        <v>31080</v>
      </c>
      <c r="K704" s="7">
        <f>INT((crimenes_cordoba_ampliado[[#This Row],[Fecha]]-crimenes_cordoba_ampliado[[#This Row],[Fecha Nac. Delincuente]])/365)</f>
        <v>31</v>
      </c>
      <c r="L704" s="7" t="str">
        <f>_xlfn.XLOOKUP(crimenes_cordoba_ampliado[[#This Row],[EDAD DELINCUENTE]],'Rango etareo'!$A$10:$A$25,'Rango etareo'!$B$10:$B$25,,-1)</f>
        <v>26 - 35</v>
      </c>
      <c r="M704" s="3" t="s">
        <v>22</v>
      </c>
      <c r="N704" s="3" t="str">
        <f>IF(crimenes_cordoba_ampliado[[#This Row],[Género Delincuente]]="Femenino","🚺","🚹")</f>
        <v>🚹</v>
      </c>
      <c r="O704">
        <v>2</v>
      </c>
      <c r="P704" s="1">
        <v>30569</v>
      </c>
      <c r="Q704" s="7">
        <f>INT((crimenes_cordoba_ampliado[[#This Row],[Fecha]]-crimenes_cordoba_ampliado[[#This Row],[Fecha Nac. Víctima]])/365)</f>
        <v>33</v>
      </c>
      <c r="R704" s="7" t="str">
        <f>_xlfn.XLOOKUP(crimenes_cordoba_ampliado[[#This Row],[EDAD VICTIMA]],'Rango etareo'!$A$2:$A$25,'Rango etareo'!$B$2:$B$25,,-1)</f>
        <v>26 - 35</v>
      </c>
      <c r="S704" s="3" t="s">
        <v>21</v>
      </c>
      <c r="T704" s="3" t="str">
        <f>IF(crimenes_cordoba_ampliado[[#This Row],[Género Víctima]]="Masculino","🚹","🚺")</f>
        <v>🚺</v>
      </c>
      <c r="U704">
        <v>2</v>
      </c>
      <c r="V704" s="3" t="s">
        <v>23</v>
      </c>
      <c r="W704" s="3" t="s">
        <v>24</v>
      </c>
      <c r="X704" s="3" t="s">
        <v>24</v>
      </c>
      <c r="Y704" s="3" t="s">
        <v>53</v>
      </c>
      <c r="Z704" s="3" t="s">
        <v>25</v>
      </c>
      <c r="AA704" s="3" t="s">
        <v>25</v>
      </c>
      <c r="AB704" s="3" t="str">
        <f>IF(crimenes_cordoba_ampliado[[#This Row],[Hubo Arresto]]="Sí", "Resuelto", "Pendiente")</f>
        <v>Resuelto</v>
      </c>
      <c r="AC704" s="3" t="s">
        <v>291</v>
      </c>
      <c r="AD704" s="3"/>
    </row>
    <row r="705" spans="1:30" x14ac:dyDescent="0.25">
      <c r="A705">
        <v>388</v>
      </c>
      <c r="B705" s="1">
        <v>44641</v>
      </c>
      <c r="C705" s="33">
        <f t="shared" si="20"/>
        <v>44641</v>
      </c>
      <c r="D705" s="34">
        <f t="shared" si="21"/>
        <v>44641</v>
      </c>
      <c r="E705" s="35" t="s">
        <v>1452</v>
      </c>
      <c r="F705" s="2">
        <v>0.9375</v>
      </c>
      <c r="G705" s="3" t="s">
        <v>51</v>
      </c>
      <c r="H705" s="3" t="s">
        <v>40</v>
      </c>
      <c r="I705" s="25" t="str">
        <f>VLOOKUP(H705,Tabla5[#All],4,FALSE)</f>
        <v>-31,334500143441, -64,2460773260564</v>
      </c>
      <c r="J705" s="1">
        <v>33929</v>
      </c>
      <c r="K705" s="7">
        <f>INT((crimenes_cordoba_ampliado[[#This Row],[Fecha]]-crimenes_cordoba_ampliado[[#This Row],[Fecha Nac. Delincuente]])/365)</f>
        <v>29</v>
      </c>
      <c r="L705" s="7" t="str">
        <f>_xlfn.XLOOKUP(crimenes_cordoba_ampliado[[#This Row],[EDAD DELINCUENTE]],'Rango etareo'!$A$10:$A$25,'Rango etareo'!$B$10:$B$25,,-1)</f>
        <v>26 - 35</v>
      </c>
      <c r="M705" s="3" t="s">
        <v>21</v>
      </c>
      <c r="N705" s="3" t="str">
        <f>IF(crimenes_cordoba_ampliado[[#This Row],[Género Delincuente]]="Femenino","🚺","🚹")</f>
        <v>🚺</v>
      </c>
      <c r="O705">
        <v>2</v>
      </c>
      <c r="P705" s="1">
        <v>16019</v>
      </c>
      <c r="Q705" s="7">
        <f>INT((crimenes_cordoba_ampliado[[#This Row],[Fecha]]-crimenes_cordoba_ampliado[[#This Row],[Fecha Nac. Víctima]])/365)</f>
        <v>78</v>
      </c>
      <c r="R705" s="7" t="str">
        <f>_xlfn.XLOOKUP(crimenes_cordoba_ampliado[[#This Row],[EDAD VICTIMA]],'Rango etareo'!$A$2:$A$25,'Rango etareo'!$B$2:$B$25,,-1)</f>
        <v>&gt;65</v>
      </c>
      <c r="S705" s="3" t="s">
        <v>22</v>
      </c>
      <c r="T705" s="3" t="str">
        <f>IF(crimenes_cordoba_ampliado[[#This Row],[Género Víctima]]="Masculino","🚹","🚺")</f>
        <v>🚹</v>
      </c>
      <c r="U705">
        <v>1</v>
      </c>
      <c r="V705" s="3" t="s">
        <v>25</v>
      </c>
      <c r="W705" s="3" t="s">
        <v>36</v>
      </c>
      <c r="X705" s="3" t="s">
        <v>67</v>
      </c>
      <c r="Y705" s="3" t="s">
        <v>24</v>
      </c>
      <c r="Z705" s="3" t="s">
        <v>25</v>
      </c>
      <c r="AA705" s="3" t="s">
        <v>25</v>
      </c>
      <c r="AB705" s="3" t="str">
        <f>IF(crimenes_cordoba_ampliado[[#This Row],[Hubo Arresto]]="Sí", "Resuelto", "Pendiente")</f>
        <v>Pendiente</v>
      </c>
      <c r="AC705" s="3" t="s">
        <v>24</v>
      </c>
      <c r="AD705" s="3"/>
    </row>
    <row r="706" spans="1:30" x14ac:dyDescent="0.25">
      <c r="A706">
        <v>180</v>
      </c>
      <c r="B706" s="1">
        <v>44644</v>
      </c>
      <c r="C706" s="33">
        <f t="shared" ref="C706:C769" si="22">B:B</f>
        <v>44644</v>
      </c>
      <c r="D706" s="34">
        <f t="shared" ref="D706:D769" si="23">B:B</f>
        <v>44644</v>
      </c>
      <c r="E706" s="35" t="s">
        <v>1454</v>
      </c>
      <c r="F706" s="2">
        <v>0.65694444444444444</v>
      </c>
      <c r="G706" s="3" t="s">
        <v>27</v>
      </c>
      <c r="H706" s="3" t="s">
        <v>58</v>
      </c>
      <c r="I706" s="25" t="str">
        <f>VLOOKUP(H706,Tabla5[#All],4,FALSE)</f>
        <v>-31,423018915313, -64,1493562190664</v>
      </c>
      <c r="J706" s="1">
        <v>26356</v>
      </c>
      <c r="K706" s="7">
        <f>INT((crimenes_cordoba_ampliado[[#This Row],[Fecha]]-crimenes_cordoba_ampliado[[#This Row],[Fecha Nac. Delincuente]])/365)</f>
        <v>50</v>
      </c>
      <c r="L706" s="7" t="str">
        <f>_xlfn.XLOOKUP(crimenes_cordoba_ampliado[[#This Row],[EDAD DELINCUENTE]],'Rango etareo'!$A$10:$A$25,'Rango etareo'!$B$10:$B$25,,-1)</f>
        <v>46 - 55</v>
      </c>
      <c r="M706" s="3" t="s">
        <v>21</v>
      </c>
      <c r="N706" s="3" t="str">
        <f>IF(crimenes_cordoba_ampliado[[#This Row],[Género Delincuente]]="Femenino","🚺","🚹")</f>
        <v>🚺</v>
      </c>
      <c r="O706">
        <v>5</v>
      </c>
      <c r="P706" s="1">
        <v>38410</v>
      </c>
      <c r="Q706" s="7">
        <f>INT((crimenes_cordoba_ampliado[[#This Row],[Fecha]]-crimenes_cordoba_ampliado[[#This Row],[Fecha Nac. Víctima]])/365)</f>
        <v>17</v>
      </c>
      <c r="R706" s="7" t="str">
        <f>_xlfn.XLOOKUP(crimenes_cordoba_ampliado[[#This Row],[EDAD VICTIMA]],'Rango etareo'!$A$2:$A$25,'Rango etareo'!$B$2:$B$25,,-1)</f>
        <v>&lt;=17</v>
      </c>
      <c r="S706" s="3" t="s">
        <v>21</v>
      </c>
      <c r="T706" s="3" t="str">
        <f>IF(crimenes_cordoba_ampliado[[#This Row],[Género Víctima]]="Masculino","🚹","🚺")</f>
        <v>🚺</v>
      </c>
      <c r="U706">
        <v>1</v>
      </c>
      <c r="V706" s="3" t="s">
        <v>25</v>
      </c>
      <c r="W706" s="3" t="s">
        <v>24</v>
      </c>
      <c r="X706" s="3" t="s">
        <v>24</v>
      </c>
      <c r="Y706" s="3" t="s">
        <v>46</v>
      </c>
      <c r="Z706" s="3" t="s">
        <v>25</v>
      </c>
      <c r="AA706" s="3" t="s">
        <v>25</v>
      </c>
      <c r="AB706" s="3" t="str">
        <f>IF(crimenes_cordoba_ampliado[[#This Row],[Hubo Arresto]]="Sí", "Resuelto", "Pendiente")</f>
        <v>Pendiente</v>
      </c>
      <c r="AC706" s="3" t="s">
        <v>24</v>
      </c>
      <c r="AD706" s="3"/>
    </row>
    <row r="707" spans="1:30" x14ac:dyDescent="0.25">
      <c r="A707">
        <v>700</v>
      </c>
      <c r="B707" s="1">
        <v>45453</v>
      </c>
      <c r="C707" s="33">
        <f t="shared" si="22"/>
        <v>45453</v>
      </c>
      <c r="D707" s="34">
        <f t="shared" si="23"/>
        <v>45453</v>
      </c>
      <c r="E707" s="35" t="s">
        <v>1452</v>
      </c>
      <c r="F707" s="2">
        <v>0.7631944444444444</v>
      </c>
      <c r="G707" s="3" t="s">
        <v>48</v>
      </c>
      <c r="H707" s="3" t="s">
        <v>65</v>
      </c>
      <c r="I707" s="25" t="str">
        <f>VLOOKUP(H707,Tabla5[#All],4,FALSE)</f>
        <v>-31,4285567311661, -64,1853198281007</v>
      </c>
      <c r="J707" s="1">
        <v>23244</v>
      </c>
      <c r="K707" s="7">
        <f>INT((crimenes_cordoba_ampliado[[#This Row],[Fecha]]-crimenes_cordoba_ampliado[[#This Row],[Fecha Nac. Delincuente]])/365)</f>
        <v>60</v>
      </c>
      <c r="L707" s="7" t="str">
        <f>_xlfn.XLOOKUP(crimenes_cordoba_ampliado[[#This Row],[EDAD DELINCUENTE]],'Rango etareo'!$A$10:$A$25,'Rango etareo'!$B$10:$B$25,,-1)</f>
        <v>56 - 65</v>
      </c>
      <c r="M707" s="3" t="s">
        <v>21</v>
      </c>
      <c r="N707" s="3" t="str">
        <f>IF(crimenes_cordoba_ampliado[[#This Row],[Género Delincuente]]="Femenino","🚺","🚹")</f>
        <v>🚺</v>
      </c>
      <c r="O707">
        <v>3</v>
      </c>
      <c r="P707" s="1">
        <v>30351</v>
      </c>
      <c r="Q707" s="7">
        <f>INT((crimenes_cordoba_ampliado[[#This Row],[Fecha]]-crimenes_cordoba_ampliado[[#This Row],[Fecha Nac. Víctima]])/365)</f>
        <v>41</v>
      </c>
      <c r="R707" s="7" t="str">
        <f>_xlfn.XLOOKUP(crimenes_cordoba_ampliado[[#This Row],[EDAD VICTIMA]],'Rango etareo'!$A$2:$A$25,'Rango etareo'!$B$2:$B$25,,-1)</f>
        <v>36 - 45</v>
      </c>
      <c r="S707" s="3" t="s">
        <v>22</v>
      </c>
      <c r="T707" s="3" t="str">
        <f>IF(crimenes_cordoba_ampliado[[#This Row],[Género Víctima]]="Masculino","🚹","🚺")</f>
        <v>🚹</v>
      </c>
      <c r="U707">
        <v>3</v>
      </c>
      <c r="V707" s="3" t="s">
        <v>23</v>
      </c>
      <c r="W707" s="3" t="s">
        <v>63</v>
      </c>
      <c r="X707" s="3" t="s">
        <v>41</v>
      </c>
      <c r="Y707" s="3" t="s">
        <v>24</v>
      </c>
      <c r="Z707" s="3" t="s">
        <v>25</v>
      </c>
      <c r="AA707" s="3" t="s">
        <v>23</v>
      </c>
      <c r="AB707" s="3" t="str">
        <f>IF(crimenes_cordoba_ampliado[[#This Row],[Hubo Arresto]]="Sí", "Resuelto", "Pendiente")</f>
        <v>Resuelto</v>
      </c>
      <c r="AC707" s="3" t="s">
        <v>292</v>
      </c>
      <c r="AD707" s="3"/>
    </row>
    <row r="708" spans="1:30" x14ac:dyDescent="0.25">
      <c r="A708">
        <v>598</v>
      </c>
      <c r="B708" s="1">
        <v>44651</v>
      </c>
      <c r="C708" s="33">
        <f t="shared" si="22"/>
        <v>44651</v>
      </c>
      <c r="D708" s="34">
        <f t="shared" si="23"/>
        <v>44651</v>
      </c>
      <c r="E708" s="35" t="s">
        <v>1454</v>
      </c>
      <c r="F708" s="2">
        <v>0.73472222222222228</v>
      </c>
      <c r="G708" s="3" t="s">
        <v>42</v>
      </c>
      <c r="H708" s="3" t="s">
        <v>20</v>
      </c>
      <c r="I708" s="25" t="str">
        <f>VLOOKUP(H708,Tabla5[#All],4,FALSE)</f>
        <v>-31,4800162965848, -64,2094200976892</v>
      </c>
      <c r="J708" s="1">
        <v>25738</v>
      </c>
      <c r="K708" s="7">
        <f>INT((crimenes_cordoba_ampliado[[#This Row],[Fecha]]-crimenes_cordoba_ampliado[[#This Row],[Fecha Nac. Delincuente]])/365)</f>
        <v>51</v>
      </c>
      <c r="L708" s="7" t="str">
        <f>_xlfn.XLOOKUP(crimenes_cordoba_ampliado[[#This Row],[EDAD DELINCUENTE]],'Rango etareo'!$A$10:$A$25,'Rango etareo'!$B$10:$B$25,,-1)</f>
        <v>46 - 55</v>
      </c>
      <c r="M708" s="3" t="s">
        <v>21</v>
      </c>
      <c r="N708" s="3" t="str">
        <f>IF(crimenes_cordoba_ampliado[[#This Row],[Género Delincuente]]="Femenino","🚺","🚹")</f>
        <v>🚺</v>
      </c>
      <c r="O708">
        <v>4</v>
      </c>
      <c r="P708" s="1">
        <v>18481</v>
      </c>
      <c r="Q708" s="7">
        <f>INT((crimenes_cordoba_ampliado[[#This Row],[Fecha]]-crimenes_cordoba_ampliado[[#This Row],[Fecha Nac. Víctima]])/365)</f>
        <v>71</v>
      </c>
      <c r="R708" s="7" t="str">
        <f>_xlfn.XLOOKUP(crimenes_cordoba_ampliado[[#This Row],[EDAD VICTIMA]],'Rango etareo'!$A$2:$A$25,'Rango etareo'!$B$2:$B$25,,-1)</f>
        <v>&gt;65</v>
      </c>
      <c r="S708" s="3" t="s">
        <v>22</v>
      </c>
      <c r="T708" s="3" t="str">
        <f>IF(crimenes_cordoba_ampliado[[#This Row],[Género Víctima]]="Masculino","🚹","🚺")</f>
        <v>🚹</v>
      </c>
      <c r="U708">
        <v>3</v>
      </c>
      <c r="V708" s="3" t="s">
        <v>25</v>
      </c>
      <c r="W708" s="3" t="s">
        <v>24</v>
      </c>
      <c r="X708" s="3" t="s">
        <v>24</v>
      </c>
      <c r="Y708" s="3" t="s">
        <v>46</v>
      </c>
      <c r="Z708" s="3" t="s">
        <v>25</v>
      </c>
      <c r="AA708" s="3" t="s">
        <v>23</v>
      </c>
      <c r="AB708" s="3" t="str">
        <f>IF(crimenes_cordoba_ampliado[[#This Row],[Hubo Arresto]]="Sí", "Resuelto", "Pendiente")</f>
        <v>Pendiente</v>
      </c>
      <c r="AC708" s="3" t="s">
        <v>24</v>
      </c>
      <c r="AD708" s="3"/>
    </row>
    <row r="709" spans="1:30" x14ac:dyDescent="0.25">
      <c r="A709">
        <v>701</v>
      </c>
      <c r="B709" s="1">
        <v>43158</v>
      </c>
      <c r="C709" s="33">
        <f t="shared" si="22"/>
        <v>43158</v>
      </c>
      <c r="D709" s="34">
        <f t="shared" si="23"/>
        <v>43158</v>
      </c>
      <c r="E709" s="35" t="s">
        <v>1453</v>
      </c>
      <c r="F709" s="2">
        <v>0.45833333333333331</v>
      </c>
      <c r="G709" s="3" t="s">
        <v>81</v>
      </c>
      <c r="H709" s="3" t="s">
        <v>60</v>
      </c>
      <c r="I709" s="25" t="str">
        <f>VLOOKUP(H709,Tabla5[#All],4,FALSE)</f>
        <v>-31,4076397196409, -64,2020170430678</v>
      </c>
      <c r="J709" s="1">
        <v>27162</v>
      </c>
      <c r="K709" s="7">
        <f>INT((crimenes_cordoba_ampliado[[#This Row],[Fecha]]-crimenes_cordoba_ampliado[[#This Row],[Fecha Nac. Delincuente]])/365)</f>
        <v>43</v>
      </c>
      <c r="L709" s="7" t="str">
        <f>_xlfn.XLOOKUP(crimenes_cordoba_ampliado[[#This Row],[EDAD DELINCUENTE]],'Rango etareo'!$A$10:$A$25,'Rango etareo'!$B$10:$B$25,,-1)</f>
        <v>36 - 45</v>
      </c>
      <c r="M709" s="3" t="s">
        <v>22</v>
      </c>
      <c r="N709" s="3" t="str">
        <f>IF(crimenes_cordoba_ampliado[[#This Row],[Género Delincuente]]="Femenino","🚺","🚹")</f>
        <v>🚹</v>
      </c>
      <c r="O709">
        <v>3</v>
      </c>
      <c r="P709" s="1">
        <v>37370</v>
      </c>
      <c r="Q709" s="7">
        <f>INT((crimenes_cordoba_ampliado[[#This Row],[Fecha]]-crimenes_cordoba_ampliado[[#This Row],[Fecha Nac. Víctima]])/365)</f>
        <v>15</v>
      </c>
      <c r="R709" s="7" t="str">
        <f>_xlfn.XLOOKUP(crimenes_cordoba_ampliado[[#This Row],[EDAD VICTIMA]],'Rango etareo'!$A$2:$A$25,'Rango etareo'!$B$2:$B$25,,-1)</f>
        <v>&lt;=17</v>
      </c>
      <c r="S709" s="3" t="s">
        <v>21</v>
      </c>
      <c r="T709" s="3" t="str">
        <f>IF(crimenes_cordoba_ampliado[[#This Row],[Género Víctima]]="Masculino","🚹","🚺")</f>
        <v>🚺</v>
      </c>
      <c r="U709">
        <v>3</v>
      </c>
      <c r="V709" s="3" t="s">
        <v>23</v>
      </c>
      <c r="W709" s="3" t="s">
        <v>24</v>
      </c>
      <c r="X709" s="3" t="s">
        <v>24</v>
      </c>
      <c r="Y709" s="3" t="s">
        <v>46</v>
      </c>
      <c r="Z709" s="3" t="s">
        <v>25</v>
      </c>
      <c r="AA709" s="3" t="s">
        <v>25</v>
      </c>
      <c r="AB709" s="3" t="str">
        <f>IF(crimenes_cordoba_ampliado[[#This Row],[Hubo Arresto]]="Sí", "Resuelto", "Pendiente")</f>
        <v>Resuelto</v>
      </c>
      <c r="AC709" s="3" t="s">
        <v>129</v>
      </c>
      <c r="AD709" s="3"/>
    </row>
    <row r="710" spans="1:30" x14ac:dyDescent="0.25">
      <c r="A710">
        <v>702</v>
      </c>
      <c r="B710" s="1">
        <v>44266</v>
      </c>
      <c r="C710" s="33">
        <f t="shared" si="22"/>
        <v>44266</v>
      </c>
      <c r="D710" s="34">
        <f t="shared" si="23"/>
        <v>44266</v>
      </c>
      <c r="E710" s="35" t="s">
        <v>1454</v>
      </c>
      <c r="F710" s="2">
        <v>0.76875000000000004</v>
      </c>
      <c r="G710" s="3" t="s">
        <v>48</v>
      </c>
      <c r="H710" s="3" t="s">
        <v>65</v>
      </c>
      <c r="I710" s="25" t="str">
        <f>VLOOKUP(H710,Tabla5[#All],4,FALSE)</f>
        <v>-31,4285567311661, -64,1853198281007</v>
      </c>
      <c r="J710" s="1">
        <v>35465</v>
      </c>
      <c r="K710" s="7">
        <f>INT((crimenes_cordoba_ampliado[[#This Row],[Fecha]]-crimenes_cordoba_ampliado[[#This Row],[Fecha Nac. Delincuente]])/365)</f>
        <v>24</v>
      </c>
      <c r="L710" s="7" t="str">
        <f>_xlfn.XLOOKUP(crimenes_cordoba_ampliado[[#This Row],[EDAD DELINCUENTE]],'Rango etareo'!$A$10:$A$25,'Rango etareo'!$B$10:$B$25,,-1)</f>
        <v>18 - 25</v>
      </c>
      <c r="M710" s="3" t="s">
        <v>22</v>
      </c>
      <c r="N710" s="3" t="str">
        <f>IF(crimenes_cordoba_ampliado[[#This Row],[Género Delincuente]]="Femenino","🚺","🚹")</f>
        <v>🚹</v>
      </c>
      <c r="O710">
        <v>3</v>
      </c>
      <c r="P710" s="1">
        <v>35189</v>
      </c>
      <c r="Q710" s="7">
        <f>INT((crimenes_cordoba_ampliado[[#This Row],[Fecha]]-crimenes_cordoba_ampliado[[#This Row],[Fecha Nac. Víctima]])/365)</f>
        <v>24</v>
      </c>
      <c r="R710" s="7" t="str">
        <f>_xlfn.XLOOKUP(crimenes_cordoba_ampliado[[#This Row],[EDAD VICTIMA]],'Rango etareo'!$A$2:$A$25,'Rango etareo'!$B$2:$B$25,,-1)</f>
        <v>18 - 25</v>
      </c>
      <c r="S710" s="3" t="s">
        <v>21</v>
      </c>
      <c r="T710" s="3" t="str">
        <f>IF(crimenes_cordoba_ampliado[[#This Row],[Género Víctima]]="Masculino","🚹","🚺")</f>
        <v>🚺</v>
      </c>
      <c r="U710">
        <v>1</v>
      </c>
      <c r="V710" s="3" t="s">
        <v>23</v>
      </c>
      <c r="W710" s="3" t="s">
        <v>24</v>
      </c>
      <c r="X710" s="3" t="s">
        <v>24</v>
      </c>
      <c r="Y710" s="3" t="s">
        <v>106</v>
      </c>
      <c r="Z710" s="3" t="s">
        <v>23</v>
      </c>
      <c r="AA710" s="3" t="s">
        <v>23</v>
      </c>
      <c r="AB710" s="3" t="str">
        <f>IF(crimenes_cordoba_ampliado[[#This Row],[Hubo Arresto]]="Sí", "Resuelto", "Pendiente")</f>
        <v>Resuelto</v>
      </c>
      <c r="AC710" s="3" t="s">
        <v>293</v>
      </c>
      <c r="AD710" s="3"/>
    </row>
    <row r="711" spans="1:30" x14ac:dyDescent="0.25">
      <c r="A711">
        <v>316</v>
      </c>
      <c r="B711" s="1">
        <v>44663</v>
      </c>
      <c r="C711" s="33">
        <f t="shared" si="22"/>
        <v>44663</v>
      </c>
      <c r="D711" s="34">
        <f t="shared" si="23"/>
        <v>44663</v>
      </c>
      <c r="E711" s="35" t="s">
        <v>1453</v>
      </c>
      <c r="F711" s="2">
        <v>0.83125000000000004</v>
      </c>
      <c r="G711" s="3" t="s">
        <v>48</v>
      </c>
      <c r="H711" s="3" t="s">
        <v>62</v>
      </c>
      <c r="I711" s="25" t="str">
        <f>VLOOKUP(H711,Tabla5[#All],4,FALSE)</f>
        <v>-31,3909520937826, -64,1836424491715</v>
      </c>
      <c r="J711" s="1">
        <v>37449</v>
      </c>
      <c r="K711" s="7">
        <f>INT((crimenes_cordoba_ampliado[[#This Row],[Fecha]]-crimenes_cordoba_ampliado[[#This Row],[Fecha Nac. Delincuente]])/365)</f>
        <v>19</v>
      </c>
      <c r="L711" s="7" t="str">
        <f>_xlfn.XLOOKUP(crimenes_cordoba_ampliado[[#This Row],[EDAD DELINCUENTE]],'Rango etareo'!$A$10:$A$25,'Rango etareo'!$B$10:$B$25,,-1)</f>
        <v>18 - 25</v>
      </c>
      <c r="M711" s="3" t="s">
        <v>21</v>
      </c>
      <c r="N711" s="3" t="str">
        <f>IF(crimenes_cordoba_ampliado[[#This Row],[Género Delincuente]]="Femenino","🚺","🚹")</f>
        <v>🚺</v>
      </c>
      <c r="O711">
        <v>3</v>
      </c>
      <c r="P711" s="1">
        <v>31075</v>
      </c>
      <c r="Q711" s="7">
        <f>INT((crimenes_cordoba_ampliado[[#This Row],[Fecha]]-crimenes_cordoba_ampliado[[#This Row],[Fecha Nac. Víctima]])/365)</f>
        <v>37</v>
      </c>
      <c r="R711" s="7" t="str">
        <f>_xlfn.XLOOKUP(crimenes_cordoba_ampliado[[#This Row],[EDAD VICTIMA]],'Rango etareo'!$A$2:$A$25,'Rango etareo'!$B$2:$B$25,,-1)</f>
        <v>36 - 45</v>
      </c>
      <c r="S711" s="3" t="s">
        <v>22</v>
      </c>
      <c r="T711" s="3" t="str">
        <f>IF(crimenes_cordoba_ampliado[[#This Row],[Género Víctima]]="Masculino","🚹","🚺")</f>
        <v>🚹</v>
      </c>
      <c r="U711">
        <v>3</v>
      </c>
      <c r="V711" s="3" t="s">
        <v>25</v>
      </c>
      <c r="W711" s="3" t="s">
        <v>24</v>
      </c>
      <c r="X711" s="3" t="s">
        <v>24</v>
      </c>
      <c r="Y711" s="3" t="s">
        <v>80</v>
      </c>
      <c r="Z711" s="3" t="s">
        <v>25</v>
      </c>
      <c r="AA711" s="3" t="s">
        <v>25</v>
      </c>
      <c r="AB711" s="3" t="str">
        <f>IF(crimenes_cordoba_ampliado[[#This Row],[Hubo Arresto]]="Sí", "Resuelto", "Pendiente")</f>
        <v>Pendiente</v>
      </c>
      <c r="AC711" s="3" t="s">
        <v>24</v>
      </c>
      <c r="AD711" s="3"/>
    </row>
    <row r="712" spans="1:30" x14ac:dyDescent="0.25">
      <c r="A712">
        <v>753</v>
      </c>
      <c r="B712" s="1">
        <v>44663</v>
      </c>
      <c r="C712" s="33">
        <f t="shared" si="22"/>
        <v>44663</v>
      </c>
      <c r="D712" s="34">
        <f t="shared" si="23"/>
        <v>44663</v>
      </c>
      <c r="E712" s="35" t="s">
        <v>1453</v>
      </c>
      <c r="F712" s="2">
        <v>0.875</v>
      </c>
      <c r="G712" s="3" t="s">
        <v>45</v>
      </c>
      <c r="H712" s="3" t="s">
        <v>58</v>
      </c>
      <c r="I712" s="25" t="str">
        <f>VLOOKUP(H712,Tabla5[#All],4,FALSE)</f>
        <v>-31,423018915313, -64,1493562190664</v>
      </c>
      <c r="J712" s="1">
        <v>28320</v>
      </c>
      <c r="K712" s="7">
        <f>INT((crimenes_cordoba_ampliado[[#This Row],[Fecha]]-crimenes_cordoba_ampliado[[#This Row],[Fecha Nac. Delincuente]])/365)</f>
        <v>44</v>
      </c>
      <c r="L712" s="7" t="str">
        <f>_xlfn.XLOOKUP(crimenes_cordoba_ampliado[[#This Row],[EDAD DELINCUENTE]],'Rango etareo'!$A$10:$A$25,'Rango etareo'!$B$10:$B$25,,-1)</f>
        <v>36 - 45</v>
      </c>
      <c r="M712" s="3" t="s">
        <v>22</v>
      </c>
      <c r="N712" s="3" t="str">
        <f>IF(crimenes_cordoba_ampliado[[#This Row],[Género Delincuente]]="Femenino","🚺","🚹")</f>
        <v>🚹</v>
      </c>
      <c r="O712">
        <v>1</v>
      </c>
      <c r="P712" s="1">
        <v>32563</v>
      </c>
      <c r="Q712" s="7">
        <f>INT((crimenes_cordoba_ampliado[[#This Row],[Fecha]]-crimenes_cordoba_ampliado[[#This Row],[Fecha Nac. Víctima]])/365)</f>
        <v>33</v>
      </c>
      <c r="R712" s="7" t="str">
        <f>_xlfn.XLOOKUP(crimenes_cordoba_ampliado[[#This Row],[EDAD VICTIMA]],'Rango etareo'!$A$2:$A$25,'Rango etareo'!$B$2:$B$25,,-1)</f>
        <v>26 - 35</v>
      </c>
      <c r="S712" s="3" t="s">
        <v>22</v>
      </c>
      <c r="T712" s="3" t="str">
        <f>IF(crimenes_cordoba_ampliado[[#This Row],[Género Víctima]]="Masculino","🚹","🚺")</f>
        <v>🚹</v>
      </c>
      <c r="U712">
        <v>3</v>
      </c>
      <c r="V712" s="3" t="s">
        <v>25</v>
      </c>
      <c r="W712" s="3" t="s">
        <v>36</v>
      </c>
      <c r="X712" s="3" t="s">
        <v>41</v>
      </c>
      <c r="Y712" s="3" t="s">
        <v>24</v>
      </c>
      <c r="Z712" s="3" t="s">
        <v>23</v>
      </c>
      <c r="AA712" s="3" t="s">
        <v>25</v>
      </c>
      <c r="AB712" s="3" t="str">
        <f>IF(crimenes_cordoba_ampliado[[#This Row],[Hubo Arresto]]="Sí", "Resuelto", "Pendiente")</f>
        <v>Pendiente</v>
      </c>
      <c r="AC712" s="3" t="s">
        <v>24</v>
      </c>
      <c r="AD712" s="3"/>
    </row>
    <row r="713" spans="1:30" x14ac:dyDescent="0.25">
      <c r="A713">
        <v>704</v>
      </c>
      <c r="B713" s="1">
        <v>44999</v>
      </c>
      <c r="C713" s="33">
        <f t="shared" si="22"/>
        <v>44999</v>
      </c>
      <c r="D713" s="34">
        <f t="shared" si="23"/>
        <v>44999</v>
      </c>
      <c r="E713" s="35" t="s">
        <v>1453</v>
      </c>
      <c r="F713" s="2">
        <v>0.70902777777777781</v>
      </c>
      <c r="G713" s="3" t="s">
        <v>45</v>
      </c>
      <c r="H713" s="3" t="s">
        <v>62</v>
      </c>
      <c r="I713" s="25" t="str">
        <f>VLOOKUP(H713,Tabla5[#All],4,FALSE)</f>
        <v>-31,3909520937826, -64,1836424491715</v>
      </c>
      <c r="J713" s="1">
        <v>28982</v>
      </c>
      <c r="K713" s="7">
        <f>INT((crimenes_cordoba_ampliado[[#This Row],[Fecha]]-crimenes_cordoba_ampliado[[#This Row],[Fecha Nac. Delincuente]])/365)</f>
        <v>43</v>
      </c>
      <c r="L713" s="7" t="str">
        <f>_xlfn.XLOOKUP(crimenes_cordoba_ampliado[[#This Row],[EDAD DELINCUENTE]],'Rango etareo'!$A$10:$A$25,'Rango etareo'!$B$10:$B$25,,-1)</f>
        <v>36 - 45</v>
      </c>
      <c r="M713" s="3" t="s">
        <v>22</v>
      </c>
      <c r="N713" s="3" t="str">
        <f>IF(crimenes_cordoba_ampliado[[#This Row],[Género Delincuente]]="Femenino","🚺","🚹")</f>
        <v>🚹</v>
      </c>
      <c r="O713">
        <v>4</v>
      </c>
      <c r="P713" s="1">
        <v>27853</v>
      </c>
      <c r="Q713" s="7">
        <f>INT((crimenes_cordoba_ampliado[[#This Row],[Fecha]]-crimenes_cordoba_ampliado[[#This Row],[Fecha Nac. Víctima]])/365)</f>
        <v>46</v>
      </c>
      <c r="R713" s="7" t="str">
        <f>_xlfn.XLOOKUP(crimenes_cordoba_ampliado[[#This Row],[EDAD VICTIMA]],'Rango etareo'!$A$2:$A$25,'Rango etareo'!$B$2:$B$25,,-1)</f>
        <v>46 - 55</v>
      </c>
      <c r="S713" s="3" t="s">
        <v>21</v>
      </c>
      <c r="T713" s="3" t="str">
        <f>IF(crimenes_cordoba_ampliado[[#This Row],[Género Víctima]]="Masculino","🚹","🚺")</f>
        <v>🚺</v>
      </c>
      <c r="U713">
        <v>1</v>
      </c>
      <c r="V713" s="3" t="s">
        <v>23</v>
      </c>
      <c r="W713" s="3" t="s">
        <v>24</v>
      </c>
      <c r="X713" s="3" t="s">
        <v>24</v>
      </c>
      <c r="Y713" s="3" t="s">
        <v>39</v>
      </c>
      <c r="Z713" s="3" t="s">
        <v>25</v>
      </c>
      <c r="AA713" s="3" t="s">
        <v>23</v>
      </c>
      <c r="AB713" s="3" t="str">
        <f>IF(crimenes_cordoba_ampliado[[#This Row],[Hubo Arresto]]="Sí", "Resuelto", "Pendiente")</f>
        <v>Resuelto</v>
      </c>
      <c r="AC713" s="3" t="s">
        <v>270</v>
      </c>
      <c r="AD713" s="3"/>
    </row>
    <row r="714" spans="1:30" x14ac:dyDescent="0.25">
      <c r="A714">
        <v>709</v>
      </c>
      <c r="B714" s="1">
        <v>44529</v>
      </c>
      <c r="C714" s="33">
        <f t="shared" si="22"/>
        <v>44529</v>
      </c>
      <c r="D714" s="34">
        <f t="shared" si="23"/>
        <v>44529</v>
      </c>
      <c r="E714" s="35" t="s">
        <v>1452</v>
      </c>
      <c r="F714" s="2">
        <v>0.94513888888888886</v>
      </c>
      <c r="G714" s="3" t="s">
        <v>19</v>
      </c>
      <c r="H714" s="3" t="s">
        <v>20</v>
      </c>
      <c r="I714" s="25" t="str">
        <f>VLOOKUP(H714,Tabla5[#All],4,FALSE)</f>
        <v>-31,4800162965848, -64,2094200976892</v>
      </c>
      <c r="J714" s="1">
        <v>37595</v>
      </c>
      <c r="K714" s="7">
        <f>INT((crimenes_cordoba_ampliado[[#This Row],[Fecha]]-crimenes_cordoba_ampliado[[#This Row],[Fecha Nac. Delincuente]])/365)</f>
        <v>18</v>
      </c>
      <c r="L714" s="7" t="str">
        <f>_xlfn.XLOOKUP(crimenes_cordoba_ampliado[[#This Row],[EDAD DELINCUENTE]],'Rango etareo'!$A$10:$A$25,'Rango etareo'!$B$10:$B$25,,-1)</f>
        <v>18 - 25</v>
      </c>
      <c r="M714" s="3" t="s">
        <v>22</v>
      </c>
      <c r="N714" s="3" t="str">
        <f>IF(crimenes_cordoba_ampliado[[#This Row],[Género Delincuente]]="Femenino","🚺","🚹")</f>
        <v>🚹</v>
      </c>
      <c r="O714">
        <v>5</v>
      </c>
      <c r="P714" s="1">
        <v>24887</v>
      </c>
      <c r="Q714" s="7">
        <f>INT((crimenes_cordoba_ampliado[[#This Row],[Fecha]]-crimenes_cordoba_ampliado[[#This Row],[Fecha Nac. Víctima]])/365)</f>
        <v>53</v>
      </c>
      <c r="R714" s="7" t="str">
        <f>_xlfn.XLOOKUP(crimenes_cordoba_ampliado[[#This Row],[EDAD VICTIMA]],'Rango etareo'!$A$2:$A$25,'Rango etareo'!$B$2:$B$25,,-1)</f>
        <v>46 - 55</v>
      </c>
      <c r="S714" s="3" t="s">
        <v>21</v>
      </c>
      <c r="T714" s="3" t="str">
        <f>IF(crimenes_cordoba_ampliado[[#This Row],[Género Víctima]]="Masculino","🚹","🚺")</f>
        <v>🚺</v>
      </c>
      <c r="U714">
        <v>1</v>
      </c>
      <c r="V714" s="3" t="s">
        <v>23</v>
      </c>
      <c r="W714" s="3" t="s">
        <v>36</v>
      </c>
      <c r="X714" s="3" t="s">
        <v>24</v>
      </c>
      <c r="Y714" s="3" t="s">
        <v>99</v>
      </c>
      <c r="Z714" s="3" t="s">
        <v>25</v>
      </c>
      <c r="AA714" s="3" t="s">
        <v>25</v>
      </c>
      <c r="AB714" s="3" t="str">
        <f>IF(crimenes_cordoba_ampliado[[#This Row],[Hubo Arresto]]="Sí", "Resuelto", "Pendiente")</f>
        <v>Resuelto</v>
      </c>
      <c r="AC714" s="3" t="s">
        <v>74</v>
      </c>
      <c r="AD714" s="3"/>
    </row>
    <row r="715" spans="1:30" x14ac:dyDescent="0.25">
      <c r="A715">
        <v>657</v>
      </c>
      <c r="B715" s="1">
        <v>44674</v>
      </c>
      <c r="C715" s="33">
        <f t="shared" si="22"/>
        <v>44674</v>
      </c>
      <c r="D715" s="34">
        <f t="shared" si="23"/>
        <v>44674</v>
      </c>
      <c r="E715" s="35" t="s">
        <v>1451</v>
      </c>
      <c r="F715" s="2">
        <v>0.87291666666666667</v>
      </c>
      <c r="G715" s="3" t="s">
        <v>54</v>
      </c>
      <c r="H715" s="3" t="s">
        <v>40</v>
      </c>
      <c r="I715" s="25" t="str">
        <f>VLOOKUP(H715,Tabla5[#All],4,FALSE)</f>
        <v>-31,334500143441, -64,2460773260564</v>
      </c>
      <c r="J715" s="1">
        <v>21146</v>
      </c>
      <c r="K715" s="7">
        <f>INT((crimenes_cordoba_ampliado[[#This Row],[Fecha]]-crimenes_cordoba_ampliado[[#This Row],[Fecha Nac. Delincuente]])/365)</f>
        <v>64</v>
      </c>
      <c r="L715" s="7" t="str">
        <f>_xlfn.XLOOKUP(crimenes_cordoba_ampliado[[#This Row],[EDAD DELINCUENTE]],'Rango etareo'!$A$10:$A$25,'Rango etareo'!$B$10:$B$25,,-1)</f>
        <v>56 - 65</v>
      </c>
      <c r="M715" s="3" t="s">
        <v>21</v>
      </c>
      <c r="N715" s="3" t="str">
        <f>IF(crimenes_cordoba_ampliado[[#This Row],[Género Delincuente]]="Femenino","🚺","🚹")</f>
        <v>🚺</v>
      </c>
      <c r="O715">
        <v>3</v>
      </c>
      <c r="P715" s="1">
        <v>38738</v>
      </c>
      <c r="Q715" s="7">
        <f>INT((crimenes_cordoba_ampliado[[#This Row],[Fecha]]-crimenes_cordoba_ampliado[[#This Row],[Fecha Nac. Víctima]])/365)</f>
        <v>16</v>
      </c>
      <c r="R715" s="7" t="str">
        <f>_xlfn.XLOOKUP(crimenes_cordoba_ampliado[[#This Row],[EDAD VICTIMA]],'Rango etareo'!$A$2:$A$25,'Rango etareo'!$B$2:$B$25,,-1)</f>
        <v>&lt;=17</v>
      </c>
      <c r="S715" s="3" t="s">
        <v>21</v>
      </c>
      <c r="T715" s="3" t="str">
        <f>IF(crimenes_cordoba_ampliado[[#This Row],[Género Víctima]]="Masculino","🚹","🚺")</f>
        <v>🚺</v>
      </c>
      <c r="U715">
        <v>3</v>
      </c>
      <c r="V715" s="3" t="s">
        <v>25</v>
      </c>
      <c r="W715" s="3" t="s">
        <v>63</v>
      </c>
      <c r="X715" s="3" t="s">
        <v>50</v>
      </c>
      <c r="Y715" s="3" t="s">
        <v>24</v>
      </c>
      <c r="Z715" s="3" t="s">
        <v>25</v>
      </c>
      <c r="AA715" s="3" t="s">
        <v>25</v>
      </c>
      <c r="AB715" s="3" t="str">
        <f>IF(crimenes_cordoba_ampliado[[#This Row],[Hubo Arresto]]="Sí", "Resuelto", "Pendiente")</f>
        <v>Pendiente</v>
      </c>
      <c r="AC715" s="3" t="s">
        <v>24</v>
      </c>
      <c r="AD715" s="3"/>
    </row>
    <row r="716" spans="1:30" x14ac:dyDescent="0.25">
      <c r="A716">
        <v>69</v>
      </c>
      <c r="B716" s="1">
        <v>44679</v>
      </c>
      <c r="C716" s="33">
        <f t="shared" si="22"/>
        <v>44679</v>
      </c>
      <c r="D716" s="34">
        <f t="shared" si="23"/>
        <v>44679</v>
      </c>
      <c r="E716" s="35" t="s">
        <v>1454</v>
      </c>
      <c r="F716" s="2">
        <v>0.80694444444444446</v>
      </c>
      <c r="G716" s="3" t="s">
        <v>51</v>
      </c>
      <c r="H716" s="3" t="s">
        <v>60</v>
      </c>
      <c r="I716" s="25" t="str">
        <f>VLOOKUP(H716,Tabla5[#All],4,FALSE)</f>
        <v>-31,4076397196409, -64,2020170430678</v>
      </c>
      <c r="J716" s="1">
        <v>29597</v>
      </c>
      <c r="K716" s="7">
        <f>INT((crimenes_cordoba_ampliado[[#This Row],[Fecha]]-crimenes_cordoba_ampliado[[#This Row],[Fecha Nac. Delincuente]])/365)</f>
        <v>41</v>
      </c>
      <c r="L716" s="7" t="str">
        <f>_xlfn.XLOOKUP(crimenes_cordoba_ampliado[[#This Row],[EDAD DELINCUENTE]],'Rango etareo'!$A$10:$A$25,'Rango etareo'!$B$10:$B$25,,-1)</f>
        <v>36 - 45</v>
      </c>
      <c r="M716" s="3" t="s">
        <v>21</v>
      </c>
      <c r="N716" s="3" t="str">
        <f>IF(crimenes_cordoba_ampliado[[#This Row],[Género Delincuente]]="Femenino","🚺","🚹")</f>
        <v>🚺</v>
      </c>
      <c r="O716">
        <v>1</v>
      </c>
      <c r="P716" s="1">
        <v>19018</v>
      </c>
      <c r="Q716" s="7">
        <f>INT((crimenes_cordoba_ampliado[[#This Row],[Fecha]]-crimenes_cordoba_ampliado[[#This Row],[Fecha Nac. Víctima]])/365)</f>
        <v>70</v>
      </c>
      <c r="R716" s="7" t="str">
        <f>_xlfn.XLOOKUP(crimenes_cordoba_ampliado[[#This Row],[EDAD VICTIMA]],'Rango etareo'!$A$2:$A$25,'Rango etareo'!$B$2:$B$25,,-1)</f>
        <v>&gt;65</v>
      </c>
      <c r="S716" s="3" t="s">
        <v>22</v>
      </c>
      <c r="T716" s="3" t="str">
        <f>IF(crimenes_cordoba_ampliado[[#This Row],[Género Víctima]]="Masculino","🚹","🚺")</f>
        <v>🚹</v>
      </c>
      <c r="U716">
        <v>3</v>
      </c>
      <c r="V716" s="3" t="s">
        <v>25</v>
      </c>
      <c r="W716" s="3" t="s">
        <v>24</v>
      </c>
      <c r="X716" s="3" t="s">
        <v>24</v>
      </c>
      <c r="Y716" s="3" t="s">
        <v>46</v>
      </c>
      <c r="Z716" s="3" t="s">
        <v>25</v>
      </c>
      <c r="AA716" s="3" t="s">
        <v>25</v>
      </c>
      <c r="AB716" s="3" t="str">
        <f>IF(crimenes_cordoba_ampliado[[#This Row],[Hubo Arresto]]="Sí", "Resuelto", "Pendiente")</f>
        <v>Pendiente</v>
      </c>
      <c r="AC716" s="3" t="s">
        <v>24</v>
      </c>
      <c r="AD716" s="3"/>
    </row>
    <row r="717" spans="1:30" x14ac:dyDescent="0.25">
      <c r="A717">
        <v>872</v>
      </c>
      <c r="B717" s="1">
        <v>44682</v>
      </c>
      <c r="C717" s="33">
        <f t="shared" si="22"/>
        <v>44682</v>
      </c>
      <c r="D717" s="34">
        <f t="shared" si="23"/>
        <v>44682</v>
      </c>
      <c r="E717" s="35" t="s">
        <v>1449</v>
      </c>
      <c r="F717" s="2">
        <v>0.10555555555555556</v>
      </c>
      <c r="G717" s="3" t="s">
        <v>19</v>
      </c>
      <c r="H717" s="3" t="s">
        <v>62</v>
      </c>
      <c r="I717" s="25" t="str">
        <f>VLOOKUP(H717,Tabla5[#All],4,FALSE)</f>
        <v>-31,3909520937826, -64,1836424491715</v>
      </c>
      <c r="J717" s="1">
        <v>22458</v>
      </c>
      <c r="K717" s="7">
        <f>INT((crimenes_cordoba_ampliado[[#This Row],[Fecha]]-crimenes_cordoba_ampliado[[#This Row],[Fecha Nac. Delincuente]])/365)</f>
        <v>60</v>
      </c>
      <c r="L717" s="7" t="str">
        <f>_xlfn.XLOOKUP(crimenes_cordoba_ampliado[[#This Row],[EDAD DELINCUENTE]],'Rango etareo'!$A$10:$A$25,'Rango etareo'!$B$10:$B$25,,-1)</f>
        <v>56 - 65</v>
      </c>
      <c r="M717" s="3" t="s">
        <v>22</v>
      </c>
      <c r="N717" s="3" t="str">
        <f>IF(crimenes_cordoba_ampliado[[#This Row],[Género Delincuente]]="Femenino","🚺","🚹")</f>
        <v>🚹</v>
      </c>
      <c r="O717">
        <v>3</v>
      </c>
      <c r="P717" s="1">
        <v>37323</v>
      </c>
      <c r="Q717" s="7">
        <f>INT((crimenes_cordoba_ampliado[[#This Row],[Fecha]]-crimenes_cordoba_ampliado[[#This Row],[Fecha Nac. Víctima]])/365)</f>
        <v>20</v>
      </c>
      <c r="R717" s="7" t="str">
        <f>_xlfn.XLOOKUP(crimenes_cordoba_ampliado[[#This Row],[EDAD VICTIMA]],'Rango etareo'!$A$2:$A$25,'Rango etareo'!$B$2:$B$25,,-1)</f>
        <v>18 - 25</v>
      </c>
      <c r="S717" s="3" t="s">
        <v>22</v>
      </c>
      <c r="T717" s="3" t="str">
        <f>IF(crimenes_cordoba_ampliado[[#This Row],[Género Víctima]]="Masculino","🚹","🚺")</f>
        <v>🚹</v>
      </c>
      <c r="U717">
        <v>2</v>
      </c>
      <c r="V717" s="3" t="s">
        <v>25</v>
      </c>
      <c r="W717" s="3" t="s">
        <v>24</v>
      </c>
      <c r="X717" s="3" t="s">
        <v>24</v>
      </c>
      <c r="Y717" s="3" t="s">
        <v>113</v>
      </c>
      <c r="Z717" s="3" t="s">
        <v>25</v>
      </c>
      <c r="AA717" s="3" t="s">
        <v>23</v>
      </c>
      <c r="AB717" s="3" t="str">
        <f>IF(crimenes_cordoba_ampliado[[#This Row],[Hubo Arresto]]="Sí", "Resuelto", "Pendiente")</f>
        <v>Pendiente</v>
      </c>
      <c r="AC717" s="3" t="s">
        <v>24</v>
      </c>
      <c r="AD717" s="3"/>
    </row>
    <row r="718" spans="1:30" x14ac:dyDescent="0.25">
      <c r="A718">
        <v>24</v>
      </c>
      <c r="B718" s="1">
        <v>44685</v>
      </c>
      <c r="C718" s="33">
        <f t="shared" si="22"/>
        <v>44685</v>
      </c>
      <c r="D718" s="34">
        <f t="shared" si="23"/>
        <v>44685</v>
      </c>
      <c r="E718" s="35" t="s">
        <v>1450</v>
      </c>
      <c r="F718" s="2">
        <v>0.68472222222222223</v>
      </c>
      <c r="G718" s="3" t="s">
        <v>45</v>
      </c>
      <c r="H718" s="3" t="s">
        <v>49</v>
      </c>
      <c r="I718" s="25" t="str">
        <f>VLOOKUP(H718,Tabla5[#All],4,FALSE)</f>
        <v>-31,4506257494184, -64,1733054344705</v>
      </c>
      <c r="J718" s="1">
        <v>24087</v>
      </c>
      <c r="K718" s="7">
        <f>INT((crimenes_cordoba_ampliado[[#This Row],[Fecha]]-crimenes_cordoba_ampliado[[#This Row],[Fecha Nac. Delincuente]])/365)</f>
        <v>56</v>
      </c>
      <c r="L718" s="7" t="str">
        <f>_xlfn.XLOOKUP(crimenes_cordoba_ampliado[[#This Row],[EDAD DELINCUENTE]],'Rango etareo'!$A$10:$A$25,'Rango etareo'!$B$10:$B$25,,-1)</f>
        <v>56 - 65</v>
      </c>
      <c r="M718" s="3" t="s">
        <v>22</v>
      </c>
      <c r="N718" s="3" t="str">
        <f>IF(crimenes_cordoba_ampliado[[#This Row],[Género Delincuente]]="Femenino","🚺","🚹")</f>
        <v>🚹</v>
      </c>
      <c r="O718">
        <v>3</v>
      </c>
      <c r="P718" s="1">
        <v>18012</v>
      </c>
      <c r="Q718" s="7">
        <f>INT((crimenes_cordoba_ampliado[[#This Row],[Fecha]]-crimenes_cordoba_ampliado[[#This Row],[Fecha Nac. Víctima]])/365)</f>
        <v>73</v>
      </c>
      <c r="R718" s="7" t="str">
        <f>_xlfn.XLOOKUP(crimenes_cordoba_ampliado[[#This Row],[EDAD VICTIMA]],'Rango etareo'!$A$2:$A$25,'Rango etareo'!$B$2:$B$25,,-1)</f>
        <v>&gt;65</v>
      </c>
      <c r="S718" s="3" t="s">
        <v>21</v>
      </c>
      <c r="T718" s="3" t="str">
        <f>IF(crimenes_cordoba_ampliado[[#This Row],[Género Víctima]]="Masculino","🚹","🚺")</f>
        <v>🚺</v>
      </c>
      <c r="U718">
        <v>2</v>
      </c>
      <c r="V718" s="3" t="s">
        <v>25</v>
      </c>
      <c r="W718" s="3" t="s">
        <v>24</v>
      </c>
      <c r="X718" s="3" t="s">
        <v>24</v>
      </c>
      <c r="Y718" s="3" t="s">
        <v>72</v>
      </c>
      <c r="Z718" s="3" t="s">
        <v>25</v>
      </c>
      <c r="AA718" s="3" t="s">
        <v>25</v>
      </c>
      <c r="AB718" s="3" t="str">
        <f>IF(crimenes_cordoba_ampliado[[#This Row],[Hubo Arresto]]="Sí", "Resuelto", "Pendiente")</f>
        <v>Pendiente</v>
      </c>
      <c r="AC718" s="3" t="s">
        <v>24</v>
      </c>
      <c r="AD718" s="3"/>
    </row>
    <row r="719" spans="1:30" x14ac:dyDescent="0.25">
      <c r="A719">
        <v>628</v>
      </c>
      <c r="B719" s="1">
        <v>44687</v>
      </c>
      <c r="C719" s="33">
        <f t="shared" si="22"/>
        <v>44687</v>
      </c>
      <c r="D719" s="34">
        <f t="shared" si="23"/>
        <v>44687</v>
      </c>
      <c r="E719" s="35" t="s">
        <v>1455</v>
      </c>
      <c r="F719" s="2">
        <v>8.3333333333333332E-3</v>
      </c>
      <c r="G719" s="3" t="s">
        <v>79</v>
      </c>
      <c r="H719" s="3" t="s">
        <v>49</v>
      </c>
      <c r="I719" s="25" t="str">
        <f>VLOOKUP(H719,Tabla5[#All],4,FALSE)</f>
        <v>-31,4506257494184, -64,1733054344705</v>
      </c>
      <c r="J719" s="1">
        <v>31284</v>
      </c>
      <c r="K719" s="7">
        <f>INT((crimenes_cordoba_ampliado[[#This Row],[Fecha]]-crimenes_cordoba_ampliado[[#This Row],[Fecha Nac. Delincuente]])/365)</f>
        <v>36</v>
      </c>
      <c r="L719" s="7" t="str">
        <f>_xlfn.XLOOKUP(crimenes_cordoba_ampliado[[#This Row],[EDAD DELINCUENTE]],'Rango etareo'!$A$10:$A$25,'Rango etareo'!$B$10:$B$25,,-1)</f>
        <v>36 - 45</v>
      </c>
      <c r="M719" s="3" t="s">
        <v>21</v>
      </c>
      <c r="N719" s="3" t="str">
        <f>IF(crimenes_cordoba_ampliado[[#This Row],[Género Delincuente]]="Femenino","🚺","🚹")</f>
        <v>🚺</v>
      </c>
      <c r="O719">
        <v>5</v>
      </c>
      <c r="P719" s="1">
        <v>35524</v>
      </c>
      <c r="Q719" s="7">
        <f>INT((crimenes_cordoba_ampliado[[#This Row],[Fecha]]-crimenes_cordoba_ampliado[[#This Row],[Fecha Nac. Víctima]])/365)</f>
        <v>25</v>
      </c>
      <c r="R719" s="7" t="str">
        <f>_xlfn.XLOOKUP(crimenes_cordoba_ampliado[[#This Row],[EDAD VICTIMA]],'Rango etareo'!$A$2:$A$25,'Rango etareo'!$B$2:$B$25,,-1)</f>
        <v>18 - 25</v>
      </c>
      <c r="S719" s="3" t="s">
        <v>22</v>
      </c>
      <c r="T719" s="3" t="str">
        <f>IF(crimenes_cordoba_ampliado[[#This Row],[Género Víctima]]="Masculino","🚹","🚺")</f>
        <v>🚹</v>
      </c>
      <c r="U719">
        <v>2</v>
      </c>
      <c r="V719" s="3" t="s">
        <v>25</v>
      </c>
      <c r="W719" s="3" t="s">
        <v>24</v>
      </c>
      <c r="X719" s="3" t="s">
        <v>24</v>
      </c>
      <c r="Y719" s="3" t="s">
        <v>24</v>
      </c>
      <c r="Z719" s="3" t="s">
        <v>25</v>
      </c>
      <c r="AA719" s="3" t="s">
        <v>23</v>
      </c>
      <c r="AB719" s="3" t="str">
        <f>IF(crimenes_cordoba_ampliado[[#This Row],[Hubo Arresto]]="Sí", "Resuelto", "Pendiente")</f>
        <v>Pendiente</v>
      </c>
      <c r="AC719" s="3" t="s">
        <v>24</v>
      </c>
      <c r="AD719" s="3"/>
    </row>
    <row r="720" spans="1:30" x14ac:dyDescent="0.25">
      <c r="A720">
        <v>739</v>
      </c>
      <c r="B720" s="1">
        <v>44692</v>
      </c>
      <c r="C720" s="33">
        <f t="shared" si="22"/>
        <v>44692</v>
      </c>
      <c r="D720" s="34">
        <f t="shared" si="23"/>
        <v>44692</v>
      </c>
      <c r="E720" s="35" t="s">
        <v>1450</v>
      </c>
      <c r="F720" s="2">
        <v>0.17291666666666666</v>
      </c>
      <c r="G720" s="3" t="s">
        <v>42</v>
      </c>
      <c r="H720" s="3" t="s">
        <v>28</v>
      </c>
      <c r="I720" s="25" t="str">
        <f>VLOOKUP(H720,Tabla5[#All],4,FALSE)</f>
        <v>-31,4129883640337, -64,1681120522587</v>
      </c>
      <c r="J720" s="1">
        <v>30874</v>
      </c>
      <c r="K720" s="7">
        <f>INT((crimenes_cordoba_ampliado[[#This Row],[Fecha]]-crimenes_cordoba_ampliado[[#This Row],[Fecha Nac. Delincuente]])/365)</f>
        <v>37</v>
      </c>
      <c r="L720" s="7" t="str">
        <f>_xlfn.XLOOKUP(crimenes_cordoba_ampliado[[#This Row],[EDAD DELINCUENTE]],'Rango etareo'!$A$10:$A$25,'Rango etareo'!$B$10:$B$25,,-1)</f>
        <v>36 - 45</v>
      </c>
      <c r="M720" s="3" t="s">
        <v>22</v>
      </c>
      <c r="N720" s="3" t="str">
        <f>IF(crimenes_cordoba_ampliado[[#This Row],[Género Delincuente]]="Femenino","🚺","🚹")</f>
        <v>🚹</v>
      </c>
      <c r="O720">
        <v>4</v>
      </c>
      <c r="P720" s="1">
        <v>31574</v>
      </c>
      <c r="Q720" s="7">
        <f>INT((crimenes_cordoba_ampliado[[#This Row],[Fecha]]-crimenes_cordoba_ampliado[[#This Row],[Fecha Nac. Víctima]])/365)</f>
        <v>35</v>
      </c>
      <c r="R720" s="7" t="str">
        <f>_xlfn.XLOOKUP(crimenes_cordoba_ampliado[[#This Row],[EDAD VICTIMA]],'Rango etareo'!$A$2:$A$25,'Rango etareo'!$B$2:$B$25,,-1)</f>
        <v>26 - 35</v>
      </c>
      <c r="S720" s="3" t="s">
        <v>21</v>
      </c>
      <c r="T720" s="3" t="str">
        <f>IF(crimenes_cordoba_ampliado[[#This Row],[Género Víctima]]="Masculino","🚹","🚺")</f>
        <v>🚺</v>
      </c>
      <c r="U720">
        <v>2</v>
      </c>
      <c r="V720" s="3" t="s">
        <v>25</v>
      </c>
      <c r="W720" s="3" t="s">
        <v>24</v>
      </c>
      <c r="X720" s="3" t="s">
        <v>24</v>
      </c>
      <c r="Y720" s="3" t="s">
        <v>24</v>
      </c>
      <c r="Z720" s="3" t="s">
        <v>25</v>
      </c>
      <c r="AA720" s="3" t="s">
        <v>23</v>
      </c>
      <c r="AB720" s="3" t="str">
        <f>IF(crimenes_cordoba_ampliado[[#This Row],[Hubo Arresto]]="Sí", "Resuelto", "Pendiente")</f>
        <v>Pendiente</v>
      </c>
      <c r="AC720" s="3" t="s">
        <v>24</v>
      </c>
      <c r="AD720" s="3"/>
    </row>
    <row r="721" spans="1:30" x14ac:dyDescent="0.25">
      <c r="A721">
        <v>66</v>
      </c>
      <c r="B721" s="1">
        <v>44697</v>
      </c>
      <c r="C721" s="33">
        <f t="shared" si="22"/>
        <v>44697</v>
      </c>
      <c r="D721" s="34">
        <f t="shared" si="23"/>
        <v>44697</v>
      </c>
      <c r="E721" s="35" t="s">
        <v>1452</v>
      </c>
      <c r="F721" s="2">
        <v>0.43472222222222223</v>
      </c>
      <c r="G721" s="3" t="s">
        <v>27</v>
      </c>
      <c r="H721" s="3" t="s">
        <v>62</v>
      </c>
      <c r="I721" s="25" t="str">
        <f>VLOOKUP(H721,Tabla5[#All],4,FALSE)</f>
        <v>-31,3909520937826, -64,1836424491715</v>
      </c>
      <c r="J721" s="1">
        <v>23435</v>
      </c>
      <c r="K721" s="7">
        <f>INT((crimenes_cordoba_ampliado[[#This Row],[Fecha]]-crimenes_cordoba_ampliado[[#This Row],[Fecha Nac. Delincuente]])/365)</f>
        <v>58</v>
      </c>
      <c r="L721" s="7" t="str">
        <f>_xlfn.XLOOKUP(crimenes_cordoba_ampliado[[#This Row],[EDAD DELINCUENTE]],'Rango etareo'!$A$10:$A$25,'Rango etareo'!$B$10:$B$25,,-1)</f>
        <v>56 - 65</v>
      </c>
      <c r="M721" s="3" t="s">
        <v>22</v>
      </c>
      <c r="N721" s="3" t="str">
        <f>IF(crimenes_cordoba_ampliado[[#This Row],[Género Delincuente]]="Femenino","🚺","🚹")</f>
        <v>🚹</v>
      </c>
      <c r="O721">
        <v>5</v>
      </c>
      <c r="P721" s="1">
        <v>36218</v>
      </c>
      <c r="Q721" s="7">
        <f>INT((crimenes_cordoba_ampliado[[#This Row],[Fecha]]-crimenes_cordoba_ampliado[[#This Row],[Fecha Nac. Víctima]])/365)</f>
        <v>23</v>
      </c>
      <c r="R721" s="7" t="str">
        <f>_xlfn.XLOOKUP(crimenes_cordoba_ampliado[[#This Row],[EDAD VICTIMA]],'Rango etareo'!$A$2:$A$25,'Rango etareo'!$B$2:$B$25,,-1)</f>
        <v>18 - 25</v>
      </c>
      <c r="S721" s="3" t="s">
        <v>22</v>
      </c>
      <c r="T721" s="3" t="str">
        <f>IF(crimenes_cordoba_ampliado[[#This Row],[Género Víctima]]="Masculino","🚹","🚺")</f>
        <v>🚹</v>
      </c>
      <c r="U721">
        <v>2</v>
      </c>
      <c r="V721" s="3" t="s">
        <v>25</v>
      </c>
      <c r="W721" s="3" t="s">
        <v>24</v>
      </c>
      <c r="X721" s="3" t="s">
        <v>67</v>
      </c>
      <c r="Y721" s="3" t="s">
        <v>24</v>
      </c>
      <c r="Z721" s="3" t="s">
        <v>23</v>
      </c>
      <c r="AA721" s="3" t="s">
        <v>25</v>
      </c>
      <c r="AB721" s="3" t="str">
        <f>IF(crimenes_cordoba_ampliado[[#This Row],[Hubo Arresto]]="Sí", "Resuelto", "Pendiente")</f>
        <v>Pendiente</v>
      </c>
      <c r="AC721" s="3" t="s">
        <v>24</v>
      </c>
      <c r="AD721" s="3"/>
    </row>
    <row r="722" spans="1:30" x14ac:dyDescent="0.25">
      <c r="A722">
        <v>710</v>
      </c>
      <c r="B722" s="1">
        <v>45166</v>
      </c>
      <c r="C722" s="33">
        <f t="shared" si="22"/>
        <v>45166</v>
      </c>
      <c r="D722" s="34">
        <f t="shared" si="23"/>
        <v>45166</v>
      </c>
      <c r="E722" s="35" t="s">
        <v>1452</v>
      </c>
      <c r="F722" s="2">
        <v>0.10694444444444444</v>
      </c>
      <c r="G722" s="3" t="s">
        <v>48</v>
      </c>
      <c r="H722" s="3" t="s">
        <v>62</v>
      </c>
      <c r="I722" s="25" t="str">
        <f>VLOOKUP(H722,Tabla5[#All],4,FALSE)</f>
        <v>-31,3909520937826, -64,1836424491715</v>
      </c>
      <c r="J722" s="1">
        <v>20098</v>
      </c>
      <c r="K722" s="7">
        <f>INT((crimenes_cordoba_ampliado[[#This Row],[Fecha]]-crimenes_cordoba_ampliado[[#This Row],[Fecha Nac. Delincuente]])/365)</f>
        <v>68</v>
      </c>
      <c r="L722" s="7" t="str">
        <f>_xlfn.XLOOKUP(crimenes_cordoba_ampliado[[#This Row],[EDAD DELINCUENTE]],'Rango etareo'!$A$10:$A$25,'Rango etareo'!$B$10:$B$25,,-1)</f>
        <v>&gt;65</v>
      </c>
      <c r="M722" s="3" t="s">
        <v>22</v>
      </c>
      <c r="N722" s="3" t="str">
        <f>IF(crimenes_cordoba_ampliado[[#This Row],[Género Delincuente]]="Femenino","🚺","🚹")</f>
        <v>🚹</v>
      </c>
      <c r="O722">
        <v>3</v>
      </c>
      <c r="P722" s="1">
        <v>35113</v>
      </c>
      <c r="Q722" s="7">
        <f>INT((crimenes_cordoba_ampliado[[#This Row],[Fecha]]-crimenes_cordoba_ampliado[[#This Row],[Fecha Nac. Víctima]])/365)</f>
        <v>27</v>
      </c>
      <c r="R722" s="7" t="str">
        <f>_xlfn.XLOOKUP(crimenes_cordoba_ampliado[[#This Row],[EDAD VICTIMA]],'Rango etareo'!$A$2:$A$25,'Rango etareo'!$B$2:$B$25,,-1)</f>
        <v>26 - 35</v>
      </c>
      <c r="S722" s="3" t="s">
        <v>21</v>
      </c>
      <c r="T722" s="3" t="str">
        <f>IF(crimenes_cordoba_ampliado[[#This Row],[Género Víctima]]="Masculino","🚹","🚺")</f>
        <v>🚺</v>
      </c>
      <c r="U722">
        <v>1</v>
      </c>
      <c r="V722" s="3" t="s">
        <v>23</v>
      </c>
      <c r="W722" s="3" t="s">
        <v>24</v>
      </c>
      <c r="X722" s="3" t="s">
        <v>24</v>
      </c>
      <c r="Y722" s="3" t="s">
        <v>24</v>
      </c>
      <c r="Z722" s="3" t="s">
        <v>25</v>
      </c>
      <c r="AA722" s="3" t="s">
        <v>25</v>
      </c>
      <c r="AB722" s="3" t="str">
        <f>IF(crimenes_cordoba_ampliado[[#This Row],[Hubo Arresto]]="Sí", "Resuelto", "Pendiente")</f>
        <v>Resuelto</v>
      </c>
      <c r="AC722" s="3" t="s">
        <v>294</v>
      </c>
      <c r="AD722" s="3"/>
    </row>
    <row r="723" spans="1:30" x14ac:dyDescent="0.25">
      <c r="A723">
        <v>384</v>
      </c>
      <c r="B723" s="1">
        <v>44715</v>
      </c>
      <c r="C723" s="33">
        <f t="shared" si="22"/>
        <v>44715</v>
      </c>
      <c r="D723" s="34">
        <f t="shared" si="23"/>
        <v>44715</v>
      </c>
      <c r="E723" s="35" t="s">
        <v>1455</v>
      </c>
      <c r="F723" s="2">
        <v>0.54583333333333328</v>
      </c>
      <c r="G723" s="3" t="s">
        <v>38</v>
      </c>
      <c r="H723" s="3" t="s">
        <v>52</v>
      </c>
      <c r="I723" s="25" t="str">
        <f>VLOOKUP(H723,Tabla5[#All],4,FALSE)</f>
        <v>-31,3477902896523, -64,2644406169297</v>
      </c>
      <c r="J723" s="1">
        <v>28219</v>
      </c>
      <c r="K723" s="7">
        <f>INT((crimenes_cordoba_ampliado[[#This Row],[Fecha]]-crimenes_cordoba_ampliado[[#This Row],[Fecha Nac. Delincuente]])/365)</f>
        <v>45</v>
      </c>
      <c r="L723" s="7" t="str">
        <f>_xlfn.XLOOKUP(crimenes_cordoba_ampliado[[#This Row],[EDAD DELINCUENTE]],'Rango etareo'!$A$10:$A$25,'Rango etareo'!$B$10:$B$25,,-1)</f>
        <v>36 - 45</v>
      </c>
      <c r="M723" s="3" t="s">
        <v>21</v>
      </c>
      <c r="N723" s="3" t="str">
        <f>IF(crimenes_cordoba_ampliado[[#This Row],[Género Delincuente]]="Femenino","🚺","🚹")</f>
        <v>🚺</v>
      </c>
      <c r="O723">
        <v>1</v>
      </c>
      <c r="P723" s="1">
        <v>37834</v>
      </c>
      <c r="Q723" s="7">
        <f>INT((crimenes_cordoba_ampliado[[#This Row],[Fecha]]-crimenes_cordoba_ampliado[[#This Row],[Fecha Nac. Víctima]])/365)</f>
        <v>18</v>
      </c>
      <c r="R723" s="7" t="str">
        <f>_xlfn.XLOOKUP(crimenes_cordoba_ampliado[[#This Row],[EDAD VICTIMA]],'Rango etareo'!$A$2:$A$25,'Rango etareo'!$B$2:$B$25,,-1)</f>
        <v>18 - 25</v>
      </c>
      <c r="S723" s="3" t="s">
        <v>22</v>
      </c>
      <c r="T723" s="3" t="str">
        <f>IF(crimenes_cordoba_ampliado[[#This Row],[Género Víctima]]="Masculino","🚹","🚺")</f>
        <v>🚹</v>
      </c>
      <c r="U723">
        <v>1</v>
      </c>
      <c r="V723" s="3" t="s">
        <v>25</v>
      </c>
      <c r="W723" s="3" t="s">
        <v>24</v>
      </c>
      <c r="X723" s="3" t="s">
        <v>24</v>
      </c>
      <c r="Y723" s="3" t="s">
        <v>24</v>
      </c>
      <c r="Z723" s="3" t="s">
        <v>25</v>
      </c>
      <c r="AA723" s="3" t="s">
        <v>25</v>
      </c>
      <c r="AB723" s="3" t="str">
        <f>IF(crimenes_cordoba_ampliado[[#This Row],[Hubo Arresto]]="Sí", "Resuelto", "Pendiente")</f>
        <v>Pendiente</v>
      </c>
      <c r="AC723" s="3" t="s">
        <v>24</v>
      </c>
      <c r="AD723" s="3"/>
    </row>
    <row r="724" spans="1:30" x14ac:dyDescent="0.25">
      <c r="A724">
        <v>629</v>
      </c>
      <c r="B724" s="1">
        <v>44716</v>
      </c>
      <c r="C724" s="33">
        <f t="shared" si="22"/>
        <v>44716</v>
      </c>
      <c r="D724" s="34">
        <f t="shared" si="23"/>
        <v>44716</v>
      </c>
      <c r="E724" s="35" t="s">
        <v>1451</v>
      </c>
      <c r="F724" s="2">
        <v>0.5625</v>
      </c>
      <c r="G724" s="3" t="s">
        <v>79</v>
      </c>
      <c r="H724" s="3" t="s">
        <v>60</v>
      </c>
      <c r="I724" s="25" t="str">
        <f>VLOOKUP(H724,Tabla5[#All],4,FALSE)</f>
        <v>-31,4076397196409, -64,2020170430678</v>
      </c>
      <c r="J724" s="1">
        <v>32783</v>
      </c>
      <c r="K724" s="7">
        <f>INT((crimenes_cordoba_ampliado[[#This Row],[Fecha]]-crimenes_cordoba_ampliado[[#This Row],[Fecha Nac. Delincuente]])/365)</f>
        <v>32</v>
      </c>
      <c r="L724" s="7" t="str">
        <f>_xlfn.XLOOKUP(crimenes_cordoba_ampliado[[#This Row],[EDAD DELINCUENTE]],'Rango etareo'!$A$10:$A$25,'Rango etareo'!$B$10:$B$25,,-1)</f>
        <v>26 - 35</v>
      </c>
      <c r="M724" s="3" t="s">
        <v>22</v>
      </c>
      <c r="N724" s="3" t="str">
        <f>IF(crimenes_cordoba_ampliado[[#This Row],[Género Delincuente]]="Femenino","🚺","🚹")</f>
        <v>🚹</v>
      </c>
      <c r="O724">
        <v>2</v>
      </c>
      <c r="P724" s="1">
        <v>16066</v>
      </c>
      <c r="Q724" s="7">
        <f>INT((crimenes_cordoba_ampliado[[#This Row],[Fecha]]-crimenes_cordoba_ampliado[[#This Row],[Fecha Nac. Víctima]])/365)</f>
        <v>78</v>
      </c>
      <c r="R724" s="7" t="str">
        <f>_xlfn.XLOOKUP(crimenes_cordoba_ampliado[[#This Row],[EDAD VICTIMA]],'Rango etareo'!$A$2:$A$25,'Rango etareo'!$B$2:$B$25,,-1)</f>
        <v>&gt;65</v>
      </c>
      <c r="S724" s="3" t="s">
        <v>22</v>
      </c>
      <c r="T724" s="3" t="str">
        <f>IF(crimenes_cordoba_ampliado[[#This Row],[Género Víctima]]="Masculino","🚹","🚺")</f>
        <v>🚹</v>
      </c>
      <c r="U724">
        <v>3</v>
      </c>
      <c r="V724" s="3" t="s">
        <v>25</v>
      </c>
      <c r="W724" s="3" t="s">
        <v>24</v>
      </c>
      <c r="X724" s="3" t="s">
        <v>41</v>
      </c>
      <c r="Y724" s="3" t="s">
        <v>24</v>
      </c>
      <c r="Z724" s="3" t="s">
        <v>25</v>
      </c>
      <c r="AA724" s="3" t="s">
        <v>23</v>
      </c>
      <c r="AB724" s="3" t="str">
        <f>IF(crimenes_cordoba_ampliado[[#This Row],[Hubo Arresto]]="Sí", "Resuelto", "Pendiente")</f>
        <v>Pendiente</v>
      </c>
      <c r="AC724" s="3" t="s">
        <v>24</v>
      </c>
      <c r="AD724" s="3"/>
    </row>
    <row r="725" spans="1:30" x14ac:dyDescent="0.25">
      <c r="A725">
        <v>527</v>
      </c>
      <c r="B725" s="1">
        <v>44723</v>
      </c>
      <c r="C725" s="33">
        <f t="shared" si="22"/>
        <v>44723</v>
      </c>
      <c r="D725" s="34">
        <f t="shared" si="23"/>
        <v>44723</v>
      </c>
      <c r="E725" s="35" t="s">
        <v>1451</v>
      </c>
      <c r="F725" s="2">
        <v>0.92222222222222228</v>
      </c>
      <c r="G725" s="3" t="s">
        <v>48</v>
      </c>
      <c r="H725" s="3" t="s">
        <v>40</v>
      </c>
      <c r="I725" s="25" t="str">
        <f>VLOOKUP(H725,Tabla5[#All],4,FALSE)</f>
        <v>-31,334500143441, -64,2460773260564</v>
      </c>
      <c r="J725" s="1">
        <v>19699</v>
      </c>
      <c r="K725" s="7">
        <f>INT((crimenes_cordoba_ampliado[[#This Row],[Fecha]]-crimenes_cordoba_ampliado[[#This Row],[Fecha Nac. Delincuente]])/365)</f>
        <v>68</v>
      </c>
      <c r="L725" s="7" t="str">
        <f>_xlfn.XLOOKUP(crimenes_cordoba_ampliado[[#This Row],[EDAD DELINCUENTE]],'Rango etareo'!$A$10:$A$25,'Rango etareo'!$B$10:$B$25,,-1)</f>
        <v>&gt;65</v>
      </c>
      <c r="M725" s="3" t="s">
        <v>22</v>
      </c>
      <c r="N725" s="3" t="str">
        <f>IF(crimenes_cordoba_ampliado[[#This Row],[Género Delincuente]]="Femenino","🚺","🚹")</f>
        <v>🚹</v>
      </c>
      <c r="O725">
        <v>1</v>
      </c>
      <c r="P725" s="1">
        <v>26472</v>
      </c>
      <c r="Q725" s="7">
        <f>INT((crimenes_cordoba_ampliado[[#This Row],[Fecha]]-crimenes_cordoba_ampliado[[#This Row],[Fecha Nac. Víctima]])/365)</f>
        <v>50</v>
      </c>
      <c r="R725" s="7" t="str">
        <f>_xlfn.XLOOKUP(crimenes_cordoba_ampliado[[#This Row],[EDAD VICTIMA]],'Rango etareo'!$A$2:$A$25,'Rango etareo'!$B$2:$B$25,,-1)</f>
        <v>46 - 55</v>
      </c>
      <c r="S725" s="3" t="s">
        <v>21</v>
      </c>
      <c r="T725" s="3" t="str">
        <f>IF(crimenes_cordoba_ampliado[[#This Row],[Género Víctima]]="Masculino","🚹","🚺")</f>
        <v>🚺</v>
      </c>
      <c r="U725">
        <v>1</v>
      </c>
      <c r="V725" s="3" t="s">
        <v>25</v>
      </c>
      <c r="W725" s="3" t="s">
        <v>24</v>
      </c>
      <c r="X725" s="3" t="s">
        <v>24</v>
      </c>
      <c r="Y725" s="3" t="s">
        <v>33</v>
      </c>
      <c r="Z725" s="3" t="s">
        <v>25</v>
      </c>
      <c r="AA725" s="3" t="s">
        <v>23</v>
      </c>
      <c r="AB725" s="3" t="str">
        <f>IF(crimenes_cordoba_ampliado[[#This Row],[Hubo Arresto]]="Sí", "Resuelto", "Pendiente")</f>
        <v>Pendiente</v>
      </c>
      <c r="AC725" s="3" t="s">
        <v>24</v>
      </c>
      <c r="AD725" s="3"/>
    </row>
    <row r="726" spans="1:30" x14ac:dyDescent="0.25">
      <c r="A726">
        <v>711</v>
      </c>
      <c r="B726" s="1">
        <v>44123</v>
      </c>
      <c r="C726" s="33">
        <f t="shared" si="22"/>
        <v>44123</v>
      </c>
      <c r="D726" s="34">
        <f t="shared" si="23"/>
        <v>44123</v>
      </c>
      <c r="E726" s="35" t="s">
        <v>1452</v>
      </c>
      <c r="F726" s="2">
        <v>1.8055555555555554E-2</v>
      </c>
      <c r="G726" s="3" t="s">
        <v>35</v>
      </c>
      <c r="H726" s="3" t="s">
        <v>58</v>
      </c>
      <c r="I726" s="25" t="str">
        <f>VLOOKUP(H726,Tabla5[#All],4,FALSE)</f>
        <v>-31,423018915313, -64,1493562190664</v>
      </c>
      <c r="J726" s="1">
        <v>36892</v>
      </c>
      <c r="K726" s="7">
        <f>INT((crimenes_cordoba_ampliado[[#This Row],[Fecha]]-crimenes_cordoba_ampliado[[#This Row],[Fecha Nac. Delincuente]])/365)</f>
        <v>19</v>
      </c>
      <c r="L726" s="7" t="str">
        <f>_xlfn.XLOOKUP(crimenes_cordoba_ampliado[[#This Row],[EDAD DELINCUENTE]],'Rango etareo'!$A$10:$A$25,'Rango etareo'!$B$10:$B$25,,-1)</f>
        <v>18 - 25</v>
      </c>
      <c r="M726" s="3" t="s">
        <v>21</v>
      </c>
      <c r="N726" s="3" t="str">
        <f>IF(crimenes_cordoba_ampliado[[#This Row],[Género Delincuente]]="Femenino","🚺","🚹")</f>
        <v>🚺</v>
      </c>
      <c r="O726">
        <v>5</v>
      </c>
      <c r="P726" s="1">
        <v>35221</v>
      </c>
      <c r="Q726" s="7">
        <f>INT((crimenes_cordoba_ampliado[[#This Row],[Fecha]]-crimenes_cordoba_ampliado[[#This Row],[Fecha Nac. Víctima]])/365)</f>
        <v>24</v>
      </c>
      <c r="R726" s="7" t="str">
        <f>_xlfn.XLOOKUP(crimenes_cordoba_ampliado[[#This Row],[EDAD VICTIMA]],'Rango etareo'!$A$2:$A$25,'Rango etareo'!$B$2:$B$25,,-1)</f>
        <v>18 - 25</v>
      </c>
      <c r="S726" s="3" t="s">
        <v>21</v>
      </c>
      <c r="T726" s="3" t="str">
        <f>IF(crimenes_cordoba_ampliado[[#This Row],[Género Víctima]]="Masculino","🚹","🚺")</f>
        <v>🚺</v>
      </c>
      <c r="U726">
        <v>3</v>
      </c>
      <c r="V726" s="3" t="s">
        <v>23</v>
      </c>
      <c r="W726" s="3" t="s">
        <v>24</v>
      </c>
      <c r="X726" s="3" t="s">
        <v>24</v>
      </c>
      <c r="Y726" s="3" t="s">
        <v>24</v>
      </c>
      <c r="Z726" s="3" t="s">
        <v>25</v>
      </c>
      <c r="AA726" s="3" t="s">
        <v>23</v>
      </c>
      <c r="AB726" s="3" t="str">
        <f>IF(crimenes_cordoba_ampliado[[#This Row],[Hubo Arresto]]="Sí", "Resuelto", "Pendiente")</f>
        <v>Resuelto</v>
      </c>
      <c r="AC726" s="3" t="s">
        <v>295</v>
      </c>
      <c r="AD726" s="3"/>
    </row>
    <row r="727" spans="1:30" x14ac:dyDescent="0.25">
      <c r="A727">
        <v>289</v>
      </c>
      <c r="B727" s="1">
        <v>44734</v>
      </c>
      <c r="C727" s="33">
        <f t="shared" si="22"/>
        <v>44734</v>
      </c>
      <c r="D727" s="34">
        <f t="shared" si="23"/>
        <v>44734</v>
      </c>
      <c r="E727" s="35" t="s">
        <v>1450</v>
      </c>
      <c r="F727" s="2">
        <v>5.8333333333333334E-2</v>
      </c>
      <c r="G727" s="3" t="s">
        <v>42</v>
      </c>
      <c r="H727" s="3" t="s">
        <v>49</v>
      </c>
      <c r="I727" s="25" t="str">
        <f>VLOOKUP(H727,Tabla5[#All],4,FALSE)</f>
        <v>-31,4506257494184, -64,1733054344705</v>
      </c>
      <c r="J727" s="1">
        <v>38158</v>
      </c>
      <c r="K727" s="7">
        <f>INT((crimenes_cordoba_ampliado[[#This Row],[Fecha]]-crimenes_cordoba_ampliado[[#This Row],[Fecha Nac. Delincuente]])/365)</f>
        <v>18</v>
      </c>
      <c r="L727" s="7" t="str">
        <f>_xlfn.XLOOKUP(crimenes_cordoba_ampliado[[#This Row],[EDAD DELINCUENTE]],'Rango etareo'!$A$10:$A$25,'Rango etareo'!$B$10:$B$25,,-1)</f>
        <v>18 - 25</v>
      </c>
      <c r="M727" s="3" t="s">
        <v>22</v>
      </c>
      <c r="N727" s="3" t="str">
        <f>IF(crimenes_cordoba_ampliado[[#This Row],[Género Delincuente]]="Femenino","🚺","🚹")</f>
        <v>🚹</v>
      </c>
      <c r="O727">
        <v>1</v>
      </c>
      <c r="P727" s="1">
        <v>16798</v>
      </c>
      <c r="Q727" s="7">
        <f>INT((crimenes_cordoba_ampliado[[#This Row],[Fecha]]-crimenes_cordoba_ampliado[[#This Row],[Fecha Nac. Víctima]])/365)</f>
        <v>76</v>
      </c>
      <c r="R727" s="7" t="str">
        <f>_xlfn.XLOOKUP(crimenes_cordoba_ampliado[[#This Row],[EDAD VICTIMA]],'Rango etareo'!$A$2:$A$25,'Rango etareo'!$B$2:$B$25,,-1)</f>
        <v>&gt;65</v>
      </c>
      <c r="S727" s="3" t="s">
        <v>21</v>
      </c>
      <c r="T727" s="3" t="str">
        <f>IF(crimenes_cordoba_ampliado[[#This Row],[Género Víctima]]="Masculino","🚹","🚺")</f>
        <v>🚺</v>
      </c>
      <c r="U727">
        <v>3</v>
      </c>
      <c r="V727" s="3" t="s">
        <v>25</v>
      </c>
      <c r="W727" s="3" t="s">
        <v>24</v>
      </c>
      <c r="X727" s="3" t="s">
        <v>50</v>
      </c>
      <c r="Y727" s="3" t="s">
        <v>24</v>
      </c>
      <c r="Z727" s="3" t="s">
        <v>25</v>
      </c>
      <c r="AA727" s="3" t="s">
        <v>25</v>
      </c>
      <c r="AB727" s="3" t="str">
        <f>IF(crimenes_cordoba_ampliado[[#This Row],[Hubo Arresto]]="Sí", "Resuelto", "Pendiente")</f>
        <v>Pendiente</v>
      </c>
      <c r="AC727" s="3" t="s">
        <v>24</v>
      </c>
      <c r="AD727" s="3"/>
    </row>
    <row r="728" spans="1:30" x14ac:dyDescent="0.25">
      <c r="A728">
        <v>358</v>
      </c>
      <c r="B728" s="1">
        <v>44739</v>
      </c>
      <c r="C728" s="33">
        <f t="shared" si="22"/>
        <v>44739</v>
      </c>
      <c r="D728" s="34">
        <f t="shared" si="23"/>
        <v>44739</v>
      </c>
      <c r="E728" s="35" t="s">
        <v>1452</v>
      </c>
      <c r="F728" s="2">
        <v>0.37708333333333333</v>
      </c>
      <c r="G728" s="3" t="s">
        <v>48</v>
      </c>
      <c r="H728" s="3" t="s">
        <v>60</v>
      </c>
      <c r="I728" s="25" t="str">
        <f>VLOOKUP(H728,Tabla5[#All],4,FALSE)</f>
        <v>-31,4076397196409, -64,2020170430678</v>
      </c>
      <c r="J728" s="1">
        <v>18698</v>
      </c>
      <c r="K728" s="7">
        <f>INT((crimenes_cordoba_ampliado[[#This Row],[Fecha]]-crimenes_cordoba_ampliado[[#This Row],[Fecha Nac. Delincuente]])/365)</f>
        <v>71</v>
      </c>
      <c r="L728" s="7" t="str">
        <f>_xlfn.XLOOKUP(crimenes_cordoba_ampliado[[#This Row],[EDAD DELINCUENTE]],'Rango etareo'!$A$10:$A$25,'Rango etareo'!$B$10:$B$25,,-1)</f>
        <v>&gt;65</v>
      </c>
      <c r="M728" s="3" t="s">
        <v>22</v>
      </c>
      <c r="N728" s="3" t="str">
        <f>IF(crimenes_cordoba_ampliado[[#This Row],[Género Delincuente]]="Femenino","🚺","🚹")</f>
        <v>🚹</v>
      </c>
      <c r="O728">
        <v>3</v>
      </c>
      <c r="P728" s="1">
        <v>16338</v>
      </c>
      <c r="Q728" s="7">
        <f>INT((crimenes_cordoba_ampliado[[#This Row],[Fecha]]-crimenes_cordoba_ampliado[[#This Row],[Fecha Nac. Víctima]])/365)</f>
        <v>77</v>
      </c>
      <c r="R728" s="7" t="str">
        <f>_xlfn.XLOOKUP(crimenes_cordoba_ampliado[[#This Row],[EDAD VICTIMA]],'Rango etareo'!$A$2:$A$25,'Rango etareo'!$B$2:$B$25,,-1)</f>
        <v>&gt;65</v>
      </c>
      <c r="S728" s="3" t="s">
        <v>21</v>
      </c>
      <c r="T728" s="3" t="str">
        <f>IF(crimenes_cordoba_ampliado[[#This Row],[Género Víctima]]="Masculino","🚹","🚺")</f>
        <v>🚺</v>
      </c>
      <c r="U728">
        <v>1</v>
      </c>
      <c r="V728" s="3" t="s">
        <v>25</v>
      </c>
      <c r="W728" s="3" t="s">
        <v>24</v>
      </c>
      <c r="X728" s="3" t="s">
        <v>24</v>
      </c>
      <c r="Y728" s="3" t="s">
        <v>39</v>
      </c>
      <c r="Z728" s="3" t="s">
        <v>25</v>
      </c>
      <c r="AA728" s="3" t="s">
        <v>23</v>
      </c>
      <c r="AB728" s="3" t="str">
        <f>IF(crimenes_cordoba_ampliado[[#This Row],[Hubo Arresto]]="Sí", "Resuelto", "Pendiente")</f>
        <v>Pendiente</v>
      </c>
      <c r="AC728" s="3" t="s">
        <v>24</v>
      </c>
      <c r="AD728" s="3"/>
    </row>
    <row r="729" spans="1:30" x14ac:dyDescent="0.25">
      <c r="A729">
        <v>154</v>
      </c>
      <c r="B729" s="1">
        <v>44742</v>
      </c>
      <c r="C729" s="33">
        <f t="shared" si="22"/>
        <v>44742</v>
      </c>
      <c r="D729" s="34">
        <f t="shared" si="23"/>
        <v>44742</v>
      </c>
      <c r="E729" s="35" t="s">
        <v>1454</v>
      </c>
      <c r="F729" s="2">
        <v>0.31319444444444444</v>
      </c>
      <c r="G729" s="3" t="s">
        <v>51</v>
      </c>
      <c r="H729" s="3" t="s">
        <v>28</v>
      </c>
      <c r="I729" s="25" t="str">
        <f>VLOOKUP(H729,Tabla5[#All],4,FALSE)</f>
        <v>-31,4129883640337, -64,1681120522587</v>
      </c>
      <c r="J729" s="1">
        <v>25455</v>
      </c>
      <c r="K729" s="7">
        <f>INT((crimenes_cordoba_ampliado[[#This Row],[Fecha]]-crimenes_cordoba_ampliado[[#This Row],[Fecha Nac. Delincuente]])/365)</f>
        <v>52</v>
      </c>
      <c r="L729" s="7" t="str">
        <f>_xlfn.XLOOKUP(crimenes_cordoba_ampliado[[#This Row],[EDAD DELINCUENTE]],'Rango etareo'!$A$10:$A$25,'Rango etareo'!$B$10:$B$25,,-1)</f>
        <v>46 - 55</v>
      </c>
      <c r="M729" s="3" t="s">
        <v>21</v>
      </c>
      <c r="N729" s="3" t="str">
        <f>IF(crimenes_cordoba_ampliado[[#This Row],[Género Delincuente]]="Femenino","🚺","🚹")</f>
        <v>🚺</v>
      </c>
      <c r="O729">
        <v>3</v>
      </c>
      <c r="P729" s="1">
        <v>28479</v>
      </c>
      <c r="Q729" s="7">
        <f>INT((crimenes_cordoba_ampliado[[#This Row],[Fecha]]-crimenes_cordoba_ampliado[[#This Row],[Fecha Nac. Víctima]])/365)</f>
        <v>44</v>
      </c>
      <c r="R729" s="7" t="str">
        <f>_xlfn.XLOOKUP(crimenes_cordoba_ampliado[[#This Row],[EDAD VICTIMA]],'Rango etareo'!$A$2:$A$25,'Rango etareo'!$B$2:$B$25,,-1)</f>
        <v>36 - 45</v>
      </c>
      <c r="S729" s="3" t="s">
        <v>22</v>
      </c>
      <c r="T729" s="3" t="str">
        <f>IF(crimenes_cordoba_ampliado[[#This Row],[Género Víctima]]="Masculino","🚹","🚺")</f>
        <v>🚹</v>
      </c>
      <c r="U729">
        <v>3</v>
      </c>
      <c r="V729" s="3" t="s">
        <v>25</v>
      </c>
      <c r="W729" s="3" t="s">
        <v>24</v>
      </c>
      <c r="X729" s="3" t="s">
        <v>24</v>
      </c>
      <c r="Y729" s="3" t="s">
        <v>106</v>
      </c>
      <c r="Z729" s="3" t="s">
        <v>25</v>
      </c>
      <c r="AA729" s="3" t="s">
        <v>25</v>
      </c>
      <c r="AB729" s="3" t="str">
        <f>IF(crimenes_cordoba_ampliado[[#This Row],[Hubo Arresto]]="Sí", "Resuelto", "Pendiente")</f>
        <v>Pendiente</v>
      </c>
      <c r="AC729" s="3" t="s">
        <v>24</v>
      </c>
      <c r="AD729" s="3"/>
    </row>
    <row r="730" spans="1:30" x14ac:dyDescent="0.25">
      <c r="A730">
        <v>29</v>
      </c>
      <c r="B730" s="1">
        <v>44752</v>
      </c>
      <c r="C730" s="33">
        <f t="shared" si="22"/>
        <v>44752</v>
      </c>
      <c r="D730" s="34">
        <f t="shared" si="23"/>
        <v>44752</v>
      </c>
      <c r="E730" s="35" t="s">
        <v>1449</v>
      </c>
      <c r="F730" s="2">
        <v>0.95416666666666672</v>
      </c>
      <c r="G730" s="3" t="s">
        <v>79</v>
      </c>
      <c r="H730" s="3" t="s">
        <v>55</v>
      </c>
      <c r="I730" s="25" t="str">
        <f>VLOOKUP(H730,Tabla5[#All],4,FALSE)</f>
        <v>-31,4015892433235, -64,160442876477</v>
      </c>
      <c r="J730" s="1">
        <v>34899</v>
      </c>
      <c r="K730" s="7">
        <f>INT((crimenes_cordoba_ampliado[[#This Row],[Fecha]]-crimenes_cordoba_ampliado[[#This Row],[Fecha Nac. Delincuente]])/365)</f>
        <v>26</v>
      </c>
      <c r="L730" s="7" t="str">
        <f>_xlfn.XLOOKUP(crimenes_cordoba_ampliado[[#This Row],[EDAD DELINCUENTE]],'Rango etareo'!$A$10:$A$25,'Rango etareo'!$B$10:$B$25,,-1)</f>
        <v>26 - 35</v>
      </c>
      <c r="M730" s="3" t="s">
        <v>22</v>
      </c>
      <c r="N730" s="3" t="str">
        <f>IF(crimenes_cordoba_ampliado[[#This Row],[Género Delincuente]]="Femenino","🚺","🚹")</f>
        <v>🚹</v>
      </c>
      <c r="O730">
        <v>4</v>
      </c>
      <c r="P730" s="1">
        <v>41039</v>
      </c>
      <c r="Q730" s="7">
        <f>INT((crimenes_cordoba_ampliado[[#This Row],[Fecha]]-crimenes_cordoba_ampliado[[#This Row],[Fecha Nac. Víctima]])/365)</f>
        <v>10</v>
      </c>
      <c r="R730" s="7" t="str">
        <f>_xlfn.XLOOKUP(crimenes_cordoba_ampliado[[#This Row],[EDAD VICTIMA]],'Rango etareo'!$A$2:$A$25,'Rango etareo'!$B$2:$B$25,,-1)</f>
        <v>&lt;=17</v>
      </c>
      <c r="S730" s="3" t="s">
        <v>21</v>
      </c>
      <c r="T730" s="3" t="str">
        <f>IF(crimenes_cordoba_ampliado[[#This Row],[Género Víctima]]="Masculino","🚹","🚺")</f>
        <v>🚺</v>
      </c>
      <c r="U730">
        <v>2</v>
      </c>
      <c r="V730" s="3" t="s">
        <v>25</v>
      </c>
      <c r="W730" s="3" t="s">
        <v>24</v>
      </c>
      <c r="X730" s="3" t="s">
        <v>24</v>
      </c>
      <c r="Y730" s="3" t="s">
        <v>80</v>
      </c>
      <c r="Z730" s="3" t="s">
        <v>23</v>
      </c>
      <c r="AA730" s="3" t="s">
        <v>25</v>
      </c>
      <c r="AB730" s="3" t="str">
        <f>IF(crimenes_cordoba_ampliado[[#This Row],[Hubo Arresto]]="Sí", "Resuelto", "Pendiente")</f>
        <v>Pendiente</v>
      </c>
      <c r="AC730" s="3" t="s">
        <v>24</v>
      </c>
      <c r="AD730" s="3"/>
    </row>
    <row r="731" spans="1:30" x14ac:dyDescent="0.25">
      <c r="A731">
        <v>528</v>
      </c>
      <c r="B731" s="1">
        <v>44757</v>
      </c>
      <c r="C731" s="33">
        <f t="shared" si="22"/>
        <v>44757</v>
      </c>
      <c r="D731" s="34">
        <f t="shared" si="23"/>
        <v>44757</v>
      </c>
      <c r="E731" s="35" t="s">
        <v>1455</v>
      </c>
      <c r="F731" s="2">
        <v>0.97291666666666665</v>
      </c>
      <c r="G731" s="3" t="s">
        <v>51</v>
      </c>
      <c r="H731" s="3" t="s">
        <v>70</v>
      </c>
      <c r="I731" s="25" t="str">
        <f>VLOOKUP(H731,Tabla5[#All],4,FALSE)</f>
        <v>-31,3759272890294, -64,2284587792478</v>
      </c>
      <c r="J731" s="1">
        <v>27948</v>
      </c>
      <c r="K731" s="7">
        <f>INT((crimenes_cordoba_ampliado[[#This Row],[Fecha]]-crimenes_cordoba_ampliado[[#This Row],[Fecha Nac. Delincuente]])/365)</f>
        <v>46</v>
      </c>
      <c r="L731" s="7" t="str">
        <f>_xlfn.XLOOKUP(crimenes_cordoba_ampliado[[#This Row],[EDAD DELINCUENTE]],'Rango etareo'!$A$10:$A$25,'Rango etareo'!$B$10:$B$25,,-1)</f>
        <v>46 - 55</v>
      </c>
      <c r="M731" s="3" t="s">
        <v>22</v>
      </c>
      <c r="N731" s="3" t="str">
        <f>IF(crimenes_cordoba_ampliado[[#This Row],[Género Delincuente]]="Femenino","🚺","🚹")</f>
        <v>🚹</v>
      </c>
      <c r="O731">
        <v>5</v>
      </c>
      <c r="P731" s="1">
        <v>42174</v>
      </c>
      <c r="Q731" s="7">
        <f>INT((crimenes_cordoba_ampliado[[#This Row],[Fecha]]-crimenes_cordoba_ampliado[[#This Row],[Fecha Nac. Víctima]])/365)</f>
        <v>7</v>
      </c>
      <c r="R731" s="7" t="str">
        <f>_xlfn.XLOOKUP(crimenes_cordoba_ampliado[[#This Row],[EDAD VICTIMA]],'Rango etareo'!$A$2:$A$25,'Rango etareo'!$B$2:$B$25,,-1)</f>
        <v>&lt;=17</v>
      </c>
      <c r="S731" s="3" t="s">
        <v>22</v>
      </c>
      <c r="T731" s="3" t="str">
        <f>IF(crimenes_cordoba_ampliado[[#This Row],[Género Víctima]]="Masculino","🚹","🚺")</f>
        <v>🚹</v>
      </c>
      <c r="U731">
        <v>3</v>
      </c>
      <c r="V731" s="3" t="s">
        <v>25</v>
      </c>
      <c r="W731" s="3" t="s">
        <v>63</v>
      </c>
      <c r="X731" s="3" t="s">
        <v>24</v>
      </c>
      <c r="Y731" s="3" t="s">
        <v>64</v>
      </c>
      <c r="Z731" s="3" t="s">
        <v>25</v>
      </c>
      <c r="AA731" s="3" t="s">
        <v>23</v>
      </c>
      <c r="AB731" s="3" t="str">
        <f>IF(crimenes_cordoba_ampliado[[#This Row],[Hubo Arresto]]="Sí", "Resuelto", "Pendiente")</f>
        <v>Pendiente</v>
      </c>
      <c r="AC731" s="3" t="s">
        <v>24</v>
      </c>
      <c r="AD731" s="3"/>
    </row>
    <row r="732" spans="1:30" x14ac:dyDescent="0.25">
      <c r="A732">
        <v>712</v>
      </c>
      <c r="B732" s="1">
        <v>43038</v>
      </c>
      <c r="C732" s="33">
        <f t="shared" si="22"/>
        <v>43038</v>
      </c>
      <c r="D732" s="34">
        <f t="shared" si="23"/>
        <v>43038</v>
      </c>
      <c r="E732" s="35" t="s">
        <v>1452</v>
      </c>
      <c r="F732" s="2">
        <v>0.92569444444444449</v>
      </c>
      <c r="G732" s="3" t="s">
        <v>45</v>
      </c>
      <c r="H732" s="3" t="s">
        <v>40</v>
      </c>
      <c r="I732" s="25" t="str">
        <f>VLOOKUP(H732,Tabla5[#All],4,FALSE)</f>
        <v>-31,334500143441, -64,2460773260564</v>
      </c>
      <c r="J732" s="1">
        <v>30291</v>
      </c>
      <c r="K732" s="7">
        <f>INT((crimenes_cordoba_ampliado[[#This Row],[Fecha]]-crimenes_cordoba_ampliado[[#This Row],[Fecha Nac. Delincuente]])/365)</f>
        <v>34</v>
      </c>
      <c r="L732" s="7" t="str">
        <f>_xlfn.XLOOKUP(crimenes_cordoba_ampliado[[#This Row],[EDAD DELINCUENTE]],'Rango etareo'!$A$10:$A$25,'Rango etareo'!$B$10:$B$25,,-1)</f>
        <v>26 - 35</v>
      </c>
      <c r="M732" s="3" t="s">
        <v>21</v>
      </c>
      <c r="N732" s="3" t="str">
        <f>IF(crimenes_cordoba_ampliado[[#This Row],[Género Delincuente]]="Femenino","🚺","🚹")</f>
        <v>🚺</v>
      </c>
      <c r="O732">
        <v>3</v>
      </c>
      <c r="P732" s="1">
        <v>17238</v>
      </c>
      <c r="Q732" s="7">
        <f>INT((crimenes_cordoba_ampliado[[#This Row],[Fecha]]-crimenes_cordoba_ampliado[[#This Row],[Fecha Nac. Víctima]])/365)</f>
        <v>70</v>
      </c>
      <c r="R732" s="7" t="str">
        <f>_xlfn.XLOOKUP(crimenes_cordoba_ampliado[[#This Row],[EDAD VICTIMA]],'Rango etareo'!$A$2:$A$25,'Rango etareo'!$B$2:$B$25,,-1)</f>
        <v>&gt;65</v>
      </c>
      <c r="S732" s="3" t="s">
        <v>22</v>
      </c>
      <c r="T732" s="3" t="str">
        <f>IF(crimenes_cordoba_ampliado[[#This Row],[Género Víctima]]="Masculino","🚹","🚺")</f>
        <v>🚹</v>
      </c>
      <c r="U732">
        <v>1</v>
      </c>
      <c r="V732" s="3" t="s">
        <v>23</v>
      </c>
      <c r="W732" s="3" t="s">
        <v>24</v>
      </c>
      <c r="X732" s="3" t="s">
        <v>24</v>
      </c>
      <c r="Y732" s="3" t="s">
        <v>33</v>
      </c>
      <c r="Z732" s="3" t="s">
        <v>25</v>
      </c>
      <c r="AA732" s="3" t="s">
        <v>25</v>
      </c>
      <c r="AB732" s="3" t="str">
        <f>IF(crimenes_cordoba_ampliado[[#This Row],[Hubo Arresto]]="Sí", "Resuelto", "Pendiente")</f>
        <v>Resuelto</v>
      </c>
      <c r="AC732" s="3" t="s">
        <v>202</v>
      </c>
      <c r="AD732" s="3"/>
    </row>
    <row r="733" spans="1:30" x14ac:dyDescent="0.25">
      <c r="A733">
        <v>988</v>
      </c>
      <c r="B733" s="1">
        <v>44770</v>
      </c>
      <c r="C733" s="33">
        <f t="shared" si="22"/>
        <v>44770</v>
      </c>
      <c r="D733" s="34">
        <f t="shared" si="23"/>
        <v>44770</v>
      </c>
      <c r="E733" s="35" t="s">
        <v>1454</v>
      </c>
      <c r="F733" s="2">
        <v>0.4826388888888889</v>
      </c>
      <c r="G733" s="3" t="s">
        <v>42</v>
      </c>
      <c r="H733" s="3" t="s">
        <v>32</v>
      </c>
      <c r="I733" s="25" t="str">
        <f>VLOOKUP(H733,Tabla5[#All],4,FALSE)</f>
        <v>-31,4148488101991, -64,1793406489438</v>
      </c>
      <c r="J733" s="1">
        <v>18557</v>
      </c>
      <c r="K733" s="7">
        <f>INT((crimenes_cordoba_ampliado[[#This Row],[Fecha]]-crimenes_cordoba_ampliado[[#This Row],[Fecha Nac. Delincuente]])/365)</f>
        <v>71</v>
      </c>
      <c r="L733" s="7" t="str">
        <f>_xlfn.XLOOKUP(crimenes_cordoba_ampliado[[#This Row],[EDAD DELINCUENTE]],'Rango etareo'!$A$10:$A$25,'Rango etareo'!$B$10:$B$25,,-1)</f>
        <v>&gt;65</v>
      </c>
      <c r="M733" s="3" t="s">
        <v>22</v>
      </c>
      <c r="N733" s="3" t="str">
        <f>IF(crimenes_cordoba_ampliado[[#This Row],[Género Delincuente]]="Femenino","🚺","🚹")</f>
        <v>🚹</v>
      </c>
      <c r="O733">
        <v>5</v>
      </c>
      <c r="P733" s="1">
        <v>34382</v>
      </c>
      <c r="Q733" s="7">
        <f>INT((crimenes_cordoba_ampliado[[#This Row],[Fecha]]-crimenes_cordoba_ampliado[[#This Row],[Fecha Nac. Víctima]])/365)</f>
        <v>28</v>
      </c>
      <c r="R733" s="7" t="str">
        <f>_xlfn.XLOOKUP(crimenes_cordoba_ampliado[[#This Row],[EDAD VICTIMA]],'Rango etareo'!$A$2:$A$25,'Rango etareo'!$B$2:$B$25,,-1)</f>
        <v>26 - 35</v>
      </c>
      <c r="S733" s="3" t="s">
        <v>21</v>
      </c>
      <c r="T733" s="3" t="str">
        <f>IF(crimenes_cordoba_ampliado[[#This Row],[Género Víctima]]="Masculino","🚹","🚺")</f>
        <v>🚺</v>
      </c>
      <c r="U733">
        <v>1</v>
      </c>
      <c r="V733" s="3" t="s">
        <v>25</v>
      </c>
      <c r="W733" s="3" t="s">
        <v>24</v>
      </c>
      <c r="X733" s="3" t="s">
        <v>24</v>
      </c>
      <c r="Y733" s="3" t="s">
        <v>56</v>
      </c>
      <c r="Z733" s="3" t="s">
        <v>25</v>
      </c>
      <c r="AA733" s="3" t="s">
        <v>25</v>
      </c>
      <c r="AB733" s="3" t="str">
        <f>IF(crimenes_cordoba_ampliado[[#This Row],[Hubo Arresto]]="Sí", "Resuelto", "Pendiente")</f>
        <v>Pendiente</v>
      </c>
      <c r="AC733" s="3" t="s">
        <v>24</v>
      </c>
      <c r="AD733" s="3"/>
    </row>
    <row r="734" spans="1:30" x14ac:dyDescent="0.25">
      <c r="A734">
        <v>713</v>
      </c>
      <c r="B734" s="1">
        <v>42052</v>
      </c>
      <c r="C734" s="33">
        <f t="shared" si="22"/>
        <v>42052</v>
      </c>
      <c r="D734" s="34">
        <f t="shared" si="23"/>
        <v>42052</v>
      </c>
      <c r="E734" s="35" t="s">
        <v>1453</v>
      </c>
      <c r="F734" s="2">
        <v>0.56388888888888888</v>
      </c>
      <c r="G734" s="3" t="s">
        <v>31</v>
      </c>
      <c r="H734" s="3" t="s">
        <v>70</v>
      </c>
      <c r="I734" s="25" t="str">
        <f>VLOOKUP(H734,Tabla5[#All],4,FALSE)</f>
        <v>-31,3759272890294, -64,2284587792478</v>
      </c>
      <c r="J734" s="1">
        <v>34430</v>
      </c>
      <c r="K734" s="7">
        <f>INT((crimenes_cordoba_ampliado[[#This Row],[Fecha]]-crimenes_cordoba_ampliado[[#This Row],[Fecha Nac. Delincuente]])/365)</f>
        <v>20</v>
      </c>
      <c r="L734" s="7" t="str">
        <f>_xlfn.XLOOKUP(crimenes_cordoba_ampliado[[#This Row],[EDAD DELINCUENTE]],'Rango etareo'!$A$10:$A$25,'Rango etareo'!$B$10:$B$25,,-1)</f>
        <v>18 - 25</v>
      </c>
      <c r="M734" s="3" t="s">
        <v>21</v>
      </c>
      <c r="N734" s="3" t="str">
        <f>IF(crimenes_cordoba_ampliado[[#This Row],[Género Delincuente]]="Femenino","🚺","🚹")</f>
        <v>🚺</v>
      </c>
      <c r="O734">
        <v>2</v>
      </c>
      <c r="P734" s="1">
        <v>28677</v>
      </c>
      <c r="Q734" s="7">
        <f>INT((crimenes_cordoba_ampliado[[#This Row],[Fecha]]-crimenes_cordoba_ampliado[[#This Row],[Fecha Nac. Víctima]])/365)</f>
        <v>36</v>
      </c>
      <c r="R734" s="7" t="str">
        <f>_xlfn.XLOOKUP(crimenes_cordoba_ampliado[[#This Row],[EDAD VICTIMA]],'Rango etareo'!$A$2:$A$25,'Rango etareo'!$B$2:$B$25,,-1)</f>
        <v>36 - 45</v>
      </c>
      <c r="S734" s="3" t="s">
        <v>22</v>
      </c>
      <c r="T734" s="3" t="str">
        <f>IF(crimenes_cordoba_ampliado[[#This Row],[Género Víctima]]="Masculino","🚹","🚺")</f>
        <v>🚹</v>
      </c>
      <c r="U734">
        <v>3</v>
      </c>
      <c r="V734" s="3" t="s">
        <v>23</v>
      </c>
      <c r="W734" s="3" t="s">
        <v>24</v>
      </c>
      <c r="X734" s="3" t="s">
        <v>50</v>
      </c>
      <c r="Y734" s="3" t="s">
        <v>24</v>
      </c>
      <c r="Z734" s="3" t="s">
        <v>25</v>
      </c>
      <c r="AA734" s="3" t="s">
        <v>25</v>
      </c>
      <c r="AB734" s="3" t="str">
        <f>IF(crimenes_cordoba_ampliado[[#This Row],[Hubo Arresto]]="Sí", "Resuelto", "Pendiente")</f>
        <v>Resuelto</v>
      </c>
      <c r="AC734" s="3" t="s">
        <v>26</v>
      </c>
      <c r="AD734" s="3"/>
    </row>
    <row r="735" spans="1:30" x14ac:dyDescent="0.25">
      <c r="A735">
        <v>449</v>
      </c>
      <c r="B735" s="1">
        <v>44777</v>
      </c>
      <c r="C735" s="33">
        <f t="shared" si="22"/>
        <v>44777</v>
      </c>
      <c r="D735" s="34">
        <f t="shared" si="23"/>
        <v>44777</v>
      </c>
      <c r="E735" s="35" t="s">
        <v>1454</v>
      </c>
      <c r="F735" s="2">
        <v>0.90972222222222221</v>
      </c>
      <c r="G735" s="3" t="s">
        <v>45</v>
      </c>
      <c r="H735" s="3" t="s">
        <v>70</v>
      </c>
      <c r="I735" s="25" t="str">
        <f>VLOOKUP(H735,Tabla5[#All],4,FALSE)</f>
        <v>-31,3759272890294, -64,2284587792478</v>
      </c>
      <c r="J735" s="1">
        <v>23401</v>
      </c>
      <c r="K735" s="7">
        <f>INT((crimenes_cordoba_ampliado[[#This Row],[Fecha]]-crimenes_cordoba_ampliado[[#This Row],[Fecha Nac. Delincuente]])/365)</f>
        <v>58</v>
      </c>
      <c r="L735" s="7" t="str">
        <f>_xlfn.XLOOKUP(crimenes_cordoba_ampliado[[#This Row],[EDAD DELINCUENTE]],'Rango etareo'!$A$10:$A$25,'Rango etareo'!$B$10:$B$25,,-1)</f>
        <v>56 - 65</v>
      </c>
      <c r="M735" s="3" t="s">
        <v>21</v>
      </c>
      <c r="N735" s="3" t="str">
        <f>IF(crimenes_cordoba_ampliado[[#This Row],[Género Delincuente]]="Femenino","🚺","🚹")</f>
        <v>🚺</v>
      </c>
      <c r="O735">
        <v>3</v>
      </c>
      <c r="P735" s="1">
        <v>17638</v>
      </c>
      <c r="Q735" s="7">
        <f>INT((crimenes_cordoba_ampliado[[#This Row],[Fecha]]-crimenes_cordoba_ampliado[[#This Row],[Fecha Nac. Víctima]])/365)</f>
        <v>74</v>
      </c>
      <c r="R735" s="7" t="str">
        <f>_xlfn.XLOOKUP(crimenes_cordoba_ampliado[[#This Row],[EDAD VICTIMA]],'Rango etareo'!$A$2:$A$25,'Rango etareo'!$B$2:$B$25,,-1)</f>
        <v>&gt;65</v>
      </c>
      <c r="S735" s="3" t="s">
        <v>21</v>
      </c>
      <c r="T735" s="3" t="str">
        <f>IF(crimenes_cordoba_ampliado[[#This Row],[Género Víctima]]="Masculino","🚹","🚺")</f>
        <v>🚺</v>
      </c>
      <c r="U735">
        <v>1</v>
      </c>
      <c r="V735" s="3" t="s">
        <v>25</v>
      </c>
      <c r="W735" s="3" t="s">
        <v>24</v>
      </c>
      <c r="X735" s="3" t="s">
        <v>24</v>
      </c>
      <c r="Y735" s="3" t="s">
        <v>86</v>
      </c>
      <c r="Z735" s="3" t="s">
        <v>25</v>
      </c>
      <c r="AA735" s="3" t="s">
        <v>23</v>
      </c>
      <c r="AB735" s="3" t="str">
        <f>IF(crimenes_cordoba_ampliado[[#This Row],[Hubo Arresto]]="Sí", "Resuelto", "Pendiente")</f>
        <v>Pendiente</v>
      </c>
      <c r="AC735" s="3" t="s">
        <v>24</v>
      </c>
      <c r="AD735" s="3"/>
    </row>
    <row r="736" spans="1:30" x14ac:dyDescent="0.25">
      <c r="A736">
        <v>400</v>
      </c>
      <c r="B736" s="1">
        <v>44779</v>
      </c>
      <c r="C736" s="33">
        <f t="shared" si="22"/>
        <v>44779</v>
      </c>
      <c r="D736" s="34">
        <f t="shared" si="23"/>
        <v>44779</v>
      </c>
      <c r="E736" s="35" t="s">
        <v>1451</v>
      </c>
      <c r="F736" s="2">
        <v>0.42986111111111114</v>
      </c>
      <c r="G736" s="3" t="s">
        <v>48</v>
      </c>
      <c r="H736" s="3" t="s">
        <v>28</v>
      </c>
      <c r="I736" s="25" t="str">
        <f>VLOOKUP(H736,Tabla5[#All],4,FALSE)</f>
        <v>-31,4129883640337, -64,1681120522587</v>
      </c>
      <c r="J736" s="1">
        <v>31804</v>
      </c>
      <c r="K736" s="7">
        <f>INT((crimenes_cordoba_ampliado[[#This Row],[Fecha]]-crimenes_cordoba_ampliado[[#This Row],[Fecha Nac. Delincuente]])/365)</f>
        <v>35</v>
      </c>
      <c r="L736" s="7" t="str">
        <f>_xlfn.XLOOKUP(crimenes_cordoba_ampliado[[#This Row],[EDAD DELINCUENTE]],'Rango etareo'!$A$10:$A$25,'Rango etareo'!$B$10:$B$25,,-1)</f>
        <v>26 - 35</v>
      </c>
      <c r="M736" s="3" t="s">
        <v>22</v>
      </c>
      <c r="N736" s="3" t="str">
        <f>IF(crimenes_cordoba_ampliado[[#This Row],[Género Delincuente]]="Femenino","🚺","🚹")</f>
        <v>🚹</v>
      </c>
      <c r="O736">
        <v>2</v>
      </c>
      <c r="P736" s="1">
        <v>21755</v>
      </c>
      <c r="Q736" s="7">
        <f>INT((crimenes_cordoba_ampliado[[#This Row],[Fecha]]-crimenes_cordoba_ampliado[[#This Row],[Fecha Nac. Víctima]])/365)</f>
        <v>63</v>
      </c>
      <c r="R736" s="7" t="str">
        <f>_xlfn.XLOOKUP(crimenes_cordoba_ampliado[[#This Row],[EDAD VICTIMA]],'Rango etareo'!$A$2:$A$25,'Rango etareo'!$B$2:$B$25,,-1)</f>
        <v>56 - 65</v>
      </c>
      <c r="S736" s="3" t="s">
        <v>22</v>
      </c>
      <c r="T736" s="3" t="str">
        <f>IF(crimenes_cordoba_ampliado[[#This Row],[Género Víctima]]="Masculino","🚹","🚺")</f>
        <v>🚹</v>
      </c>
      <c r="U736">
        <v>1</v>
      </c>
      <c r="V736" s="3" t="s">
        <v>25</v>
      </c>
      <c r="W736" s="3" t="s">
        <v>24</v>
      </c>
      <c r="X736" s="3" t="s">
        <v>41</v>
      </c>
      <c r="Y736" s="3" t="s">
        <v>24</v>
      </c>
      <c r="Z736" s="3" t="s">
        <v>25</v>
      </c>
      <c r="AA736" s="3" t="s">
        <v>25</v>
      </c>
      <c r="AB736" s="3" t="str">
        <f>IF(crimenes_cordoba_ampliado[[#This Row],[Hubo Arresto]]="Sí", "Resuelto", "Pendiente")</f>
        <v>Pendiente</v>
      </c>
      <c r="AC736" s="3" t="s">
        <v>24</v>
      </c>
      <c r="AD736" s="3"/>
    </row>
    <row r="737" spans="1:30" x14ac:dyDescent="0.25">
      <c r="A737">
        <v>715</v>
      </c>
      <c r="B737" s="1">
        <v>42867</v>
      </c>
      <c r="C737" s="33">
        <f t="shared" si="22"/>
        <v>42867</v>
      </c>
      <c r="D737" s="34">
        <f t="shared" si="23"/>
        <v>42867</v>
      </c>
      <c r="E737" s="35" t="s">
        <v>1455</v>
      </c>
      <c r="F737" s="2">
        <v>0.86597222222222225</v>
      </c>
      <c r="G737" s="3" t="s">
        <v>38</v>
      </c>
      <c r="H737" s="3" t="s">
        <v>65</v>
      </c>
      <c r="I737" s="25" t="str">
        <f>VLOOKUP(H737,Tabla5[#All],4,FALSE)</f>
        <v>-31,4285567311661, -64,1853198281007</v>
      </c>
      <c r="J737" s="1">
        <v>36985</v>
      </c>
      <c r="K737" s="7">
        <f>INT((crimenes_cordoba_ampliado[[#This Row],[Fecha]]-crimenes_cordoba_ampliado[[#This Row],[Fecha Nac. Delincuente]])/365)</f>
        <v>16</v>
      </c>
      <c r="L737" s="7" t="str">
        <f>_xlfn.XLOOKUP(crimenes_cordoba_ampliado[[#This Row],[EDAD DELINCUENTE]],'Rango etareo'!$A$10:$A$25,'Rango etareo'!$B$10:$B$25,,-1)</f>
        <v>&lt;=17</v>
      </c>
      <c r="M737" s="3" t="s">
        <v>21</v>
      </c>
      <c r="N737" s="3" t="str">
        <f>IF(crimenes_cordoba_ampliado[[#This Row],[Género Delincuente]]="Femenino","🚺","🚹")</f>
        <v>🚺</v>
      </c>
      <c r="O737">
        <v>1</v>
      </c>
      <c r="P737" s="1">
        <v>23697</v>
      </c>
      <c r="Q737" s="7">
        <f>INT((crimenes_cordoba_ampliado[[#This Row],[Fecha]]-crimenes_cordoba_ampliado[[#This Row],[Fecha Nac. Víctima]])/365)</f>
        <v>52</v>
      </c>
      <c r="R737" s="7" t="str">
        <f>_xlfn.XLOOKUP(crimenes_cordoba_ampliado[[#This Row],[EDAD VICTIMA]],'Rango etareo'!$A$2:$A$25,'Rango etareo'!$B$2:$B$25,,-1)</f>
        <v>46 - 55</v>
      </c>
      <c r="S737" s="3" t="s">
        <v>22</v>
      </c>
      <c r="T737" s="3" t="str">
        <f>IF(crimenes_cordoba_ampliado[[#This Row],[Género Víctima]]="Masculino","🚹","🚺")</f>
        <v>🚹</v>
      </c>
      <c r="U737">
        <v>1</v>
      </c>
      <c r="V737" s="3" t="s">
        <v>23</v>
      </c>
      <c r="W737" s="3" t="s">
        <v>36</v>
      </c>
      <c r="X737" s="3" t="s">
        <v>24</v>
      </c>
      <c r="Y737" s="3" t="s">
        <v>64</v>
      </c>
      <c r="Z737" s="3" t="s">
        <v>25</v>
      </c>
      <c r="AA737" s="3" t="s">
        <v>25</v>
      </c>
      <c r="AB737" s="3" t="str">
        <f>IF(crimenes_cordoba_ampliado[[#This Row],[Hubo Arresto]]="Sí", "Resuelto", "Pendiente")</f>
        <v>Resuelto</v>
      </c>
      <c r="AC737" s="3" t="s">
        <v>245</v>
      </c>
      <c r="AD737" s="3"/>
    </row>
    <row r="738" spans="1:30" x14ac:dyDescent="0.25">
      <c r="A738">
        <v>168</v>
      </c>
      <c r="B738" s="1">
        <v>44786</v>
      </c>
      <c r="C738" s="33">
        <f t="shared" si="22"/>
        <v>44786</v>
      </c>
      <c r="D738" s="34">
        <f t="shared" si="23"/>
        <v>44786</v>
      </c>
      <c r="E738" s="35" t="s">
        <v>1451</v>
      </c>
      <c r="F738" s="2">
        <v>0.82361111111111107</v>
      </c>
      <c r="G738" s="3" t="s">
        <v>54</v>
      </c>
      <c r="H738" s="3" t="s">
        <v>49</v>
      </c>
      <c r="I738" s="25" t="str">
        <f>VLOOKUP(H738,Tabla5[#All],4,FALSE)</f>
        <v>-31,4506257494184, -64,1733054344705</v>
      </c>
      <c r="J738" s="1">
        <v>24123</v>
      </c>
      <c r="K738" s="7">
        <f>INT((crimenes_cordoba_ampliado[[#This Row],[Fecha]]-crimenes_cordoba_ampliado[[#This Row],[Fecha Nac. Delincuente]])/365)</f>
        <v>56</v>
      </c>
      <c r="L738" s="7" t="str">
        <f>_xlfn.XLOOKUP(crimenes_cordoba_ampliado[[#This Row],[EDAD DELINCUENTE]],'Rango etareo'!$A$10:$A$25,'Rango etareo'!$B$10:$B$25,,-1)</f>
        <v>56 - 65</v>
      </c>
      <c r="M738" s="3" t="s">
        <v>21</v>
      </c>
      <c r="N738" s="3" t="str">
        <f>IF(crimenes_cordoba_ampliado[[#This Row],[Género Delincuente]]="Femenino","🚺","🚹")</f>
        <v>🚺</v>
      </c>
      <c r="O738">
        <v>1</v>
      </c>
      <c r="P738" s="1">
        <v>24295</v>
      </c>
      <c r="Q738" s="7">
        <f>INT((crimenes_cordoba_ampliado[[#This Row],[Fecha]]-crimenes_cordoba_ampliado[[#This Row],[Fecha Nac. Víctima]])/365)</f>
        <v>56</v>
      </c>
      <c r="R738" s="7" t="str">
        <f>_xlfn.XLOOKUP(crimenes_cordoba_ampliado[[#This Row],[EDAD VICTIMA]],'Rango etareo'!$A$2:$A$25,'Rango etareo'!$B$2:$B$25,,-1)</f>
        <v>56 - 65</v>
      </c>
      <c r="S738" s="3" t="s">
        <v>21</v>
      </c>
      <c r="T738" s="3" t="str">
        <f>IF(crimenes_cordoba_ampliado[[#This Row],[Género Víctima]]="Masculino","🚹","🚺")</f>
        <v>🚺</v>
      </c>
      <c r="U738">
        <v>1</v>
      </c>
      <c r="V738" s="3" t="s">
        <v>25</v>
      </c>
      <c r="W738" s="3" t="s">
        <v>24</v>
      </c>
      <c r="X738" s="3" t="s">
        <v>24</v>
      </c>
      <c r="Y738" s="3" t="s">
        <v>106</v>
      </c>
      <c r="Z738" s="3" t="s">
        <v>25</v>
      </c>
      <c r="AA738" s="3" t="s">
        <v>23</v>
      </c>
      <c r="AB738" s="3" t="str">
        <f>IF(crimenes_cordoba_ampliado[[#This Row],[Hubo Arresto]]="Sí", "Resuelto", "Pendiente")</f>
        <v>Pendiente</v>
      </c>
      <c r="AC738" s="3" t="s">
        <v>24</v>
      </c>
      <c r="AD738" s="3"/>
    </row>
    <row r="739" spans="1:30" x14ac:dyDescent="0.25">
      <c r="A739">
        <v>716</v>
      </c>
      <c r="B739" s="1">
        <v>43415</v>
      </c>
      <c r="C739" s="33">
        <f t="shared" si="22"/>
        <v>43415</v>
      </c>
      <c r="D739" s="34">
        <f t="shared" si="23"/>
        <v>43415</v>
      </c>
      <c r="E739" s="35" t="s">
        <v>1449</v>
      </c>
      <c r="F739" s="2">
        <v>0.77708333333333335</v>
      </c>
      <c r="G739" s="3" t="s">
        <v>45</v>
      </c>
      <c r="H739" s="3" t="s">
        <v>70</v>
      </c>
      <c r="I739" s="25" t="str">
        <f>VLOOKUP(H739,Tabla5[#All],4,FALSE)</f>
        <v>-31,3759272890294, -64,2284587792478</v>
      </c>
      <c r="J739" s="1">
        <v>22504</v>
      </c>
      <c r="K739" s="7">
        <f>INT((crimenes_cordoba_ampliado[[#This Row],[Fecha]]-crimenes_cordoba_ampliado[[#This Row],[Fecha Nac. Delincuente]])/365)</f>
        <v>57</v>
      </c>
      <c r="L739" s="7" t="str">
        <f>_xlfn.XLOOKUP(crimenes_cordoba_ampliado[[#This Row],[EDAD DELINCUENTE]],'Rango etareo'!$A$10:$A$25,'Rango etareo'!$B$10:$B$25,,-1)</f>
        <v>56 - 65</v>
      </c>
      <c r="M739" s="3" t="s">
        <v>22</v>
      </c>
      <c r="N739" s="3" t="str">
        <f>IF(crimenes_cordoba_ampliado[[#This Row],[Género Delincuente]]="Femenino","🚺","🚹")</f>
        <v>🚹</v>
      </c>
      <c r="O739">
        <v>5</v>
      </c>
      <c r="P739" s="1">
        <v>31014</v>
      </c>
      <c r="Q739" s="7">
        <f>INT((crimenes_cordoba_ampliado[[#This Row],[Fecha]]-crimenes_cordoba_ampliado[[#This Row],[Fecha Nac. Víctima]])/365)</f>
        <v>33</v>
      </c>
      <c r="R739" s="7" t="str">
        <f>_xlfn.XLOOKUP(crimenes_cordoba_ampliado[[#This Row],[EDAD VICTIMA]],'Rango etareo'!$A$2:$A$25,'Rango etareo'!$B$2:$B$25,,-1)</f>
        <v>26 - 35</v>
      </c>
      <c r="S739" s="3" t="s">
        <v>22</v>
      </c>
      <c r="T739" s="3" t="str">
        <f>IF(crimenes_cordoba_ampliado[[#This Row],[Género Víctima]]="Masculino","🚹","🚺")</f>
        <v>🚹</v>
      </c>
      <c r="U739">
        <v>2</v>
      </c>
      <c r="V739" s="3" t="s">
        <v>23</v>
      </c>
      <c r="W739" s="3" t="s">
        <v>24</v>
      </c>
      <c r="X739" s="3" t="s">
        <v>41</v>
      </c>
      <c r="Y739" s="3" t="s">
        <v>24</v>
      </c>
      <c r="Z739" s="3" t="s">
        <v>25</v>
      </c>
      <c r="AA739" s="3" t="s">
        <v>25</v>
      </c>
      <c r="AB739" s="3" t="str">
        <f>IF(crimenes_cordoba_ampliado[[#This Row],[Hubo Arresto]]="Sí", "Resuelto", "Pendiente")</f>
        <v>Resuelto</v>
      </c>
      <c r="AC739" s="3" t="s">
        <v>124</v>
      </c>
      <c r="AD739" s="3"/>
    </row>
    <row r="740" spans="1:30" x14ac:dyDescent="0.25">
      <c r="A740">
        <v>23</v>
      </c>
      <c r="B740" s="1">
        <v>44789</v>
      </c>
      <c r="C740" s="33">
        <f t="shared" si="22"/>
        <v>44789</v>
      </c>
      <c r="D740" s="34">
        <f t="shared" si="23"/>
        <v>44789</v>
      </c>
      <c r="E740" s="35" t="s">
        <v>1453</v>
      </c>
      <c r="F740" s="2">
        <v>0.84027777777777779</v>
      </c>
      <c r="G740" s="3" t="s">
        <v>35</v>
      </c>
      <c r="H740" s="3" t="s">
        <v>65</v>
      </c>
      <c r="I740" s="25" t="str">
        <f>VLOOKUP(H740,Tabla5[#All],4,FALSE)</f>
        <v>-31,4285567311661, -64,1853198281007</v>
      </c>
      <c r="J740" s="1">
        <v>29418</v>
      </c>
      <c r="K740" s="7">
        <f>INT((crimenes_cordoba_ampliado[[#This Row],[Fecha]]-crimenes_cordoba_ampliado[[#This Row],[Fecha Nac. Delincuente]])/365)</f>
        <v>42</v>
      </c>
      <c r="L740" s="7" t="str">
        <f>_xlfn.XLOOKUP(crimenes_cordoba_ampliado[[#This Row],[EDAD DELINCUENTE]],'Rango etareo'!$A$10:$A$25,'Rango etareo'!$B$10:$B$25,,-1)</f>
        <v>36 - 45</v>
      </c>
      <c r="M740" s="3" t="s">
        <v>22</v>
      </c>
      <c r="N740" s="3" t="str">
        <f>IF(crimenes_cordoba_ampliado[[#This Row],[Género Delincuente]]="Femenino","🚺","🚹")</f>
        <v>🚹</v>
      </c>
      <c r="O740">
        <v>5</v>
      </c>
      <c r="P740" s="1">
        <v>23014</v>
      </c>
      <c r="Q740" s="7">
        <f>INT((crimenes_cordoba_ampliado[[#This Row],[Fecha]]-crimenes_cordoba_ampliado[[#This Row],[Fecha Nac. Víctima]])/365)</f>
        <v>59</v>
      </c>
      <c r="R740" s="7" t="str">
        <f>_xlfn.XLOOKUP(crimenes_cordoba_ampliado[[#This Row],[EDAD VICTIMA]],'Rango etareo'!$A$2:$A$25,'Rango etareo'!$B$2:$B$25,,-1)</f>
        <v>56 - 65</v>
      </c>
      <c r="S740" s="3" t="s">
        <v>22</v>
      </c>
      <c r="T740" s="3" t="str">
        <f>IF(crimenes_cordoba_ampliado[[#This Row],[Género Víctima]]="Masculino","🚹","🚺")</f>
        <v>🚹</v>
      </c>
      <c r="U740">
        <v>1</v>
      </c>
      <c r="V740" s="3" t="s">
        <v>25</v>
      </c>
      <c r="W740" s="3" t="s">
        <v>24</v>
      </c>
      <c r="X740" s="3" t="s">
        <v>24</v>
      </c>
      <c r="Y740" s="3" t="s">
        <v>24</v>
      </c>
      <c r="Z740" s="3" t="s">
        <v>25</v>
      </c>
      <c r="AA740" s="3" t="s">
        <v>25</v>
      </c>
      <c r="AB740" s="3" t="str">
        <f>IF(crimenes_cordoba_ampliado[[#This Row],[Hubo Arresto]]="Sí", "Resuelto", "Pendiente")</f>
        <v>Pendiente</v>
      </c>
      <c r="AC740" s="3" t="s">
        <v>24</v>
      </c>
      <c r="AD740" s="3"/>
    </row>
    <row r="741" spans="1:30" x14ac:dyDescent="0.25">
      <c r="A741">
        <v>718</v>
      </c>
      <c r="B741" s="1">
        <v>44852</v>
      </c>
      <c r="C741" s="33">
        <f t="shared" si="22"/>
        <v>44852</v>
      </c>
      <c r="D741" s="34">
        <f t="shared" si="23"/>
        <v>44852</v>
      </c>
      <c r="E741" s="35" t="s">
        <v>1453</v>
      </c>
      <c r="F741" s="2">
        <v>0.58333333333333337</v>
      </c>
      <c r="G741" s="3" t="s">
        <v>48</v>
      </c>
      <c r="H741" s="3" t="s">
        <v>58</v>
      </c>
      <c r="I741" s="25" t="str">
        <f>VLOOKUP(H741,Tabla5[#All],4,FALSE)</f>
        <v>-31,423018915313, -64,1493562190664</v>
      </c>
      <c r="J741" s="1">
        <v>24992</v>
      </c>
      <c r="K741" s="7">
        <f>INT((crimenes_cordoba_ampliado[[#This Row],[Fecha]]-crimenes_cordoba_ampliado[[#This Row],[Fecha Nac. Delincuente]])/365)</f>
        <v>54</v>
      </c>
      <c r="L741" s="7" t="str">
        <f>_xlfn.XLOOKUP(crimenes_cordoba_ampliado[[#This Row],[EDAD DELINCUENTE]],'Rango etareo'!$A$10:$A$25,'Rango etareo'!$B$10:$B$25,,-1)</f>
        <v>46 - 55</v>
      </c>
      <c r="M741" s="3" t="s">
        <v>22</v>
      </c>
      <c r="N741" s="3" t="str">
        <f>IF(crimenes_cordoba_ampliado[[#This Row],[Género Delincuente]]="Femenino","🚺","🚹")</f>
        <v>🚹</v>
      </c>
      <c r="O741">
        <v>2</v>
      </c>
      <c r="P741" s="1">
        <v>33659</v>
      </c>
      <c r="Q741" s="7">
        <f>INT((crimenes_cordoba_ampliado[[#This Row],[Fecha]]-crimenes_cordoba_ampliado[[#This Row],[Fecha Nac. Víctima]])/365)</f>
        <v>30</v>
      </c>
      <c r="R741" s="7" t="str">
        <f>_xlfn.XLOOKUP(crimenes_cordoba_ampliado[[#This Row],[EDAD VICTIMA]],'Rango etareo'!$A$2:$A$25,'Rango etareo'!$B$2:$B$25,,-1)</f>
        <v>26 - 35</v>
      </c>
      <c r="S741" s="3" t="s">
        <v>22</v>
      </c>
      <c r="T741" s="3" t="str">
        <f>IF(crimenes_cordoba_ampliado[[#This Row],[Género Víctima]]="Masculino","🚹","🚺")</f>
        <v>🚹</v>
      </c>
      <c r="U741">
        <v>1</v>
      </c>
      <c r="V741" s="3" t="s">
        <v>23</v>
      </c>
      <c r="W741" s="3" t="s">
        <v>24</v>
      </c>
      <c r="X741" s="3" t="s">
        <v>24</v>
      </c>
      <c r="Y741" s="3" t="s">
        <v>24</v>
      </c>
      <c r="Z741" s="3" t="s">
        <v>25</v>
      </c>
      <c r="AA741" s="3" t="s">
        <v>25</v>
      </c>
      <c r="AB741" s="3" t="str">
        <f>IF(crimenes_cordoba_ampliado[[#This Row],[Hubo Arresto]]="Sí", "Resuelto", "Pendiente")</f>
        <v>Resuelto</v>
      </c>
      <c r="AC741" s="3" t="s">
        <v>282</v>
      </c>
      <c r="AD741" s="3"/>
    </row>
    <row r="742" spans="1:30" x14ac:dyDescent="0.25">
      <c r="A742">
        <v>722</v>
      </c>
      <c r="B742" s="1">
        <v>42896</v>
      </c>
      <c r="C742" s="33">
        <f t="shared" si="22"/>
        <v>42896</v>
      </c>
      <c r="D742" s="34">
        <f t="shared" si="23"/>
        <v>42896</v>
      </c>
      <c r="E742" s="35" t="s">
        <v>1451</v>
      </c>
      <c r="F742" s="2">
        <v>0.3972222222222222</v>
      </c>
      <c r="G742" s="3" t="s">
        <v>79</v>
      </c>
      <c r="H742" s="3" t="s">
        <v>55</v>
      </c>
      <c r="I742" s="25" t="str">
        <f>VLOOKUP(H742,Tabla5[#All],4,FALSE)</f>
        <v>-31,4015892433235, -64,160442876477</v>
      </c>
      <c r="J742" s="1">
        <v>30899</v>
      </c>
      <c r="K742" s="7">
        <f>INT((crimenes_cordoba_ampliado[[#This Row],[Fecha]]-crimenes_cordoba_ampliado[[#This Row],[Fecha Nac. Delincuente]])/365)</f>
        <v>32</v>
      </c>
      <c r="L742" s="7" t="str">
        <f>_xlfn.XLOOKUP(crimenes_cordoba_ampliado[[#This Row],[EDAD DELINCUENTE]],'Rango etareo'!$A$10:$A$25,'Rango etareo'!$B$10:$B$25,,-1)</f>
        <v>26 - 35</v>
      </c>
      <c r="M742" s="3" t="s">
        <v>22</v>
      </c>
      <c r="N742" s="3" t="str">
        <f>IF(crimenes_cordoba_ampliado[[#This Row],[Género Delincuente]]="Femenino","🚺","🚹")</f>
        <v>🚹</v>
      </c>
      <c r="O742">
        <v>3</v>
      </c>
      <c r="P742" s="1">
        <v>39900</v>
      </c>
      <c r="Q742" s="7">
        <f>INT((crimenes_cordoba_ampliado[[#This Row],[Fecha]]-crimenes_cordoba_ampliado[[#This Row],[Fecha Nac. Víctima]])/365)</f>
        <v>8</v>
      </c>
      <c r="R742" s="7" t="str">
        <f>_xlfn.XLOOKUP(crimenes_cordoba_ampliado[[#This Row],[EDAD VICTIMA]],'Rango etareo'!$A$2:$A$25,'Rango etareo'!$B$2:$B$25,,-1)</f>
        <v>&lt;=17</v>
      </c>
      <c r="S742" s="3" t="s">
        <v>21</v>
      </c>
      <c r="T742" s="3" t="str">
        <f>IF(crimenes_cordoba_ampliado[[#This Row],[Género Víctima]]="Masculino","🚹","🚺")</f>
        <v>🚺</v>
      </c>
      <c r="U742">
        <v>2</v>
      </c>
      <c r="V742" s="3" t="s">
        <v>23</v>
      </c>
      <c r="W742" s="3" t="s">
        <v>24</v>
      </c>
      <c r="X742" s="3" t="s">
        <v>24</v>
      </c>
      <c r="Y742" s="3" t="s">
        <v>39</v>
      </c>
      <c r="Z742" s="3" t="s">
        <v>25</v>
      </c>
      <c r="AA742" s="3" t="s">
        <v>25</v>
      </c>
      <c r="AB742" s="3" t="str">
        <f>IF(crimenes_cordoba_ampliado[[#This Row],[Hubo Arresto]]="Sí", "Resuelto", "Pendiente")</f>
        <v>Resuelto</v>
      </c>
      <c r="AC742" s="3" t="s">
        <v>141</v>
      </c>
      <c r="AD742" s="3"/>
    </row>
    <row r="743" spans="1:30" x14ac:dyDescent="0.25">
      <c r="A743">
        <v>85</v>
      </c>
      <c r="B743" s="1">
        <v>44793</v>
      </c>
      <c r="C743" s="33">
        <f t="shared" si="22"/>
        <v>44793</v>
      </c>
      <c r="D743" s="34">
        <f t="shared" si="23"/>
        <v>44793</v>
      </c>
      <c r="E743" s="35" t="s">
        <v>1451</v>
      </c>
      <c r="F743" s="2">
        <v>0.2673611111111111</v>
      </c>
      <c r="G743" s="3" t="s">
        <v>31</v>
      </c>
      <c r="H743" s="3" t="s">
        <v>58</v>
      </c>
      <c r="I743" s="25" t="str">
        <f>VLOOKUP(H743,Tabla5[#All],4,FALSE)</f>
        <v>-31,423018915313, -64,1493562190664</v>
      </c>
      <c r="J743" s="1">
        <v>22302</v>
      </c>
      <c r="K743" s="7">
        <f>INT((crimenes_cordoba_ampliado[[#This Row],[Fecha]]-crimenes_cordoba_ampliado[[#This Row],[Fecha Nac. Delincuente]])/365)</f>
        <v>61</v>
      </c>
      <c r="L743" s="7" t="str">
        <f>_xlfn.XLOOKUP(crimenes_cordoba_ampliado[[#This Row],[EDAD DELINCUENTE]],'Rango etareo'!$A$10:$A$25,'Rango etareo'!$B$10:$B$25,,-1)</f>
        <v>56 - 65</v>
      </c>
      <c r="M743" s="3" t="s">
        <v>21</v>
      </c>
      <c r="N743" s="3" t="str">
        <f>IF(crimenes_cordoba_ampliado[[#This Row],[Género Delincuente]]="Femenino","🚺","🚹")</f>
        <v>🚺</v>
      </c>
      <c r="O743">
        <v>3</v>
      </c>
      <c r="P743" s="1">
        <v>17161</v>
      </c>
      <c r="Q743" s="7">
        <f>INT((crimenes_cordoba_ampliado[[#This Row],[Fecha]]-crimenes_cordoba_ampliado[[#This Row],[Fecha Nac. Víctima]])/365)</f>
        <v>75</v>
      </c>
      <c r="R743" s="7" t="str">
        <f>_xlfn.XLOOKUP(crimenes_cordoba_ampliado[[#This Row],[EDAD VICTIMA]],'Rango etareo'!$A$2:$A$25,'Rango etareo'!$B$2:$B$25,,-1)</f>
        <v>&gt;65</v>
      </c>
      <c r="S743" s="3" t="s">
        <v>22</v>
      </c>
      <c r="T743" s="3" t="str">
        <f>IF(crimenes_cordoba_ampliado[[#This Row],[Género Víctima]]="Masculino","🚹","🚺")</f>
        <v>🚹</v>
      </c>
      <c r="U743">
        <v>1</v>
      </c>
      <c r="V743" s="3" t="s">
        <v>25</v>
      </c>
      <c r="W743" s="3" t="s">
        <v>24</v>
      </c>
      <c r="X743" s="3" t="s">
        <v>24</v>
      </c>
      <c r="Y743" s="3" t="s">
        <v>106</v>
      </c>
      <c r="Z743" s="3" t="s">
        <v>25</v>
      </c>
      <c r="AA743" s="3" t="s">
        <v>25</v>
      </c>
      <c r="AB743" s="3" t="str">
        <f>IF(crimenes_cordoba_ampliado[[#This Row],[Hubo Arresto]]="Sí", "Resuelto", "Pendiente")</f>
        <v>Pendiente</v>
      </c>
      <c r="AC743" s="3" t="s">
        <v>24</v>
      </c>
      <c r="AD743" s="3"/>
    </row>
    <row r="744" spans="1:30" x14ac:dyDescent="0.25">
      <c r="A744">
        <v>430</v>
      </c>
      <c r="B744" s="1">
        <v>44793</v>
      </c>
      <c r="C744" s="33">
        <f t="shared" si="22"/>
        <v>44793</v>
      </c>
      <c r="D744" s="34">
        <f t="shared" si="23"/>
        <v>44793</v>
      </c>
      <c r="E744" s="35" t="s">
        <v>1451</v>
      </c>
      <c r="F744" s="2">
        <v>0.58125000000000004</v>
      </c>
      <c r="G744" s="3" t="s">
        <v>38</v>
      </c>
      <c r="H744" s="3" t="s">
        <v>49</v>
      </c>
      <c r="I744" s="25" t="str">
        <f>VLOOKUP(H744,Tabla5[#All],4,FALSE)</f>
        <v>-31,4506257494184, -64,1733054344705</v>
      </c>
      <c r="J744" s="1">
        <v>36095</v>
      </c>
      <c r="K744" s="7">
        <f>INT((crimenes_cordoba_ampliado[[#This Row],[Fecha]]-crimenes_cordoba_ampliado[[#This Row],[Fecha Nac. Delincuente]])/365)</f>
        <v>23</v>
      </c>
      <c r="L744" s="7" t="str">
        <f>_xlfn.XLOOKUP(crimenes_cordoba_ampliado[[#This Row],[EDAD DELINCUENTE]],'Rango etareo'!$A$10:$A$25,'Rango etareo'!$B$10:$B$25,,-1)</f>
        <v>18 - 25</v>
      </c>
      <c r="M744" s="3" t="s">
        <v>22</v>
      </c>
      <c r="N744" s="3" t="str">
        <f>IF(crimenes_cordoba_ampliado[[#This Row],[Género Delincuente]]="Femenino","🚺","🚹")</f>
        <v>🚹</v>
      </c>
      <c r="O744">
        <v>3</v>
      </c>
      <c r="P744" s="1">
        <v>16404</v>
      </c>
      <c r="Q744" s="7">
        <f>INT((crimenes_cordoba_ampliado[[#This Row],[Fecha]]-crimenes_cordoba_ampliado[[#This Row],[Fecha Nac. Víctima]])/365)</f>
        <v>77</v>
      </c>
      <c r="R744" s="7" t="str">
        <f>_xlfn.XLOOKUP(crimenes_cordoba_ampliado[[#This Row],[EDAD VICTIMA]],'Rango etareo'!$A$2:$A$25,'Rango etareo'!$B$2:$B$25,,-1)</f>
        <v>&gt;65</v>
      </c>
      <c r="S744" s="3" t="s">
        <v>22</v>
      </c>
      <c r="T744" s="3" t="str">
        <f>IF(crimenes_cordoba_ampliado[[#This Row],[Género Víctima]]="Masculino","🚹","🚺")</f>
        <v>🚹</v>
      </c>
      <c r="U744">
        <v>1</v>
      </c>
      <c r="V744" s="3" t="s">
        <v>25</v>
      </c>
      <c r="W744" s="3" t="s">
        <v>24</v>
      </c>
      <c r="X744" s="3" t="s">
        <v>24</v>
      </c>
      <c r="Y744" s="3" t="s">
        <v>69</v>
      </c>
      <c r="Z744" s="3" t="s">
        <v>25</v>
      </c>
      <c r="AA744" s="3" t="s">
        <v>25</v>
      </c>
      <c r="AB744" s="3" t="str">
        <f>IF(crimenes_cordoba_ampliado[[#This Row],[Hubo Arresto]]="Sí", "Resuelto", "Pendiente")</f>
        <v>Pendiente</v>
      </c>
      <c r="AC744" s="3" t="s">
        <v>24</v>
      </c>
      <c r="AD744" s="3"/>
    </row>
    <row r="745" spans="1:30" x14ac:dyDescent="0.25">
      <c r="A745">
        <v>724</v>
      </c>
      <c r="B745" s="1">
        <v>42177</v>
      </c>
      <c r="C745" s="33">
        <f t="shared" si="22"/>
        <v>42177</v>
      </c>
      <c r="D745" s="34">
        <f t="shared" si="23"/>
        <v>42177</v>
      </c>
      <c r="E745" s="35" t="s">
        <v>1452</v>
      </c>
      <c r="F745" s="2">
        <v>0.98402777777777772</v>
      </c>
      <c r="G745" s="3" t="s">
        <v>31</v>
      </c>
      <c r="H745" s="3" t="s">
        <v>28</v>
      </c>
      <c r="I745" s="25" t="str">
        <f>VLOOKUP(H745,Tabla5[#All],4,FALSE)</f>
        <v>-31,4129883640337, -64,1681120522587</v>
      </c>
      <c r="J745" s="1">
        <v>23503</v>
      </c>
      <c r="K745" s="7">
        <f>INT((crimenes_cordoba_ampliado[[#This Row],[Fecha]]-crimenes_cordoba_ampliado[[#This Row],[Fecha Nac. Delincuente]])/365)</f>
        <v>51</v>
      </c>
      <c r="L745" s="7" t="str">
        <f>_xlfn.XLOOKUP(crimenes_cordoba_ampliado[[#This Row],[EDAD DELINCUENTE]],'Rango etareo'!$A$10:$A$25,'Rango etareo'!$B$10:$B$25,,-1)</f>
        <v>46 - 55</v>
      </c>
      <c r="M745" s="3" t="s">
        <v>21</v>
      </c>
      <c r="N745" s="3" t="str">
        <f>IF(crimenes_cordoba_ampliado[[#This Row],[Género Delincuente]]="Femenino","🚺","🚹")</f>
        <v>🚺</v>
      </c>
      <c r="O745">
        <v>5</v>
      </c>
      <c r="P745" s="1">
        <v>27133</v>
      </c>
      <c r="Q745" s="7">
        <f>INT((crimenes_cordoba_ampliado[[#This Row],[Fecha]]-crimenes_cordoba_ampliado[[#This Row],[Fecha Nac. Víctima]])/365)</f>
        <v>41</v>
      </c>
      <c r="R745" s="7" t="str">
        <f>_xlfn.XLOOKUP(crimenes_cordoba_ampliado[[#This Row],[EDAD VICTIMA]],'Rango etareo'!$A$2:$A$25,'Rango etareo'!$B$2:$B$25,,-1)</f>
        <v>36 - 45</v>
      </c>
      <c r="S745" s="3" t="s">
        <v>21</v>
      </c>
      <c r="T745" s="3" t="str">
        <f>IF(crimenes_cordoba_ampliado[[#This Row],[Género Víctima]]="Masculino","🚹","🚺")</f>
        <v>🚺</v>
      </c>
      <c r="U745">
        <v>2</v>
      </c>
      <c r="V745" s="3" t="s">
        <v>23</v>
      </c>
      <c r="W745" s="3" t="s">
        <v>71</v>
      </c>
      <c r="X745" s="3" t="s">
        <v>24</v>
      </c>
      <c r="Y745" s="3" t="s">
        <v>99</v>
      </c>
      <c r="Z745" s="3" t="s">
        <v>25</v>
      </c>
      <c r="AA745" s="3" t="s">
        <v>23</v>
      </c>
      <c r="AB745" s="3" t="str">
        <f>IF(crimenes_cordoba_ampliado[[#This Row],[Hubo Arresto]]="Sí", "Resuelto", "Pendiente")</f>
        <v>Resuelto</v>
      </c>
      <c r="AC745" s="3" t="s">
        <v>34</v>
      </c>
      <c r="AD745" s="3"/>
    </row>
    <row r="746" spans="1:30" x14ac:dyDescent="0.25">
      <c r="A746">
        <v>725</v>
      </c>
      <c r="B746" s="1">
        <v>42244</v>
      </c>
      <c r="C746" s="33">
        <f t="shared" si="22"/>
        <v>42244</v>
      </c>
      <c r="D746" s="34">
        <f t="shared" si="23"/>
        <v>42244</v>
      </c>
      <c r="E746" s="35" t="s">
        <v>1455</v>
      </c>
      <c r="F746" s="2">
        <v>0.96388888888888891</v>
      </c>
      <c r="G746" s="3" t="s">
        <v>19</v>
      </c>
      <c r="H746" s="3" t="s">
        <v>65</v>
      </c>
      <c r="I746" s="25" t="str">
        <f>VLOOKUP(H746,Tabla5[#All],4,FALSE)</f>
        <v>-31,4285567311661, -64,1853198281007</v>
      </c>
      <c r="J746" s="1">
        <v>21082</v>
      </c>
      <c r="K746" s="7">
        <f>INT((crimenes_cordoba_ampliado[[#This Row],[Fecha]]-crimenes_cordoba_ampliado[[#This Row],[Fecha Nac. Delincuente]])/365)</f>
        <v>57</v>
      </c>
      <c r="L746" s="7" t="str">
        <f>_xlfn.XLOOKUP(crimenes_cordoba_ampliado[[#This Row],[EDAD DELINCUENTE]],'Rango etareo'!$A$10:$A$25,'Rango etareo'!$B$10:$B$25,,-1)</f>
        <v>56 - 65</v>
      </c>
      <c r="M746" s="3" t="s">
        <v>22</v>
      </c>
      <c r="N746" s="3" t="str">
        <f>IF(crimenes_cordoba_ampliado[[#This Row],[Género Delincuente]]="Femenino","🚺","🚹")</f>
        <v>🚹</v>
      </c>
      <c r="O746">
        <v>5</v>
      </c>
      <c r="P746" s="1">
        <v>18324</v>
      </c>
      <c r="Q746" s="7">
        <f>INT((crimenes_cordoba_ampliado[[#This Row],[Fecha]]-crimenes_cordoba_ampliado[[#This Row],[Fecha Nac. Víctima]])/365)</f>
        <v>65</v>
      </c>
      <c r="R746" s="7" t="str">
        <f>_xlfn.XLOOKUP(crimenes_cordoba_ampliado[[#This Row],[EDAD VICTIMA]],'Rango etareo'!$A$2:$A$25,'Rango etareo'!$B$2:$B$25,,-1)</f>
        <v>&gt;65</v>
      </c>
      <c r="S746" s="3" t="s">
        <v>21</v>
      </c>
      <c r="T746" s="3" t="str">
        <f>IF(crimenes_cordoba_ampliado[[#This Row],[Género Víctima]]="Masculino","🚹","🚺")</f>
        <v>🚺</v>
      </c>
      <c r="U746">
        <v>1</v>
      </c>
      <c r="V746" s="3" t="s">
        <v>23</v>
      </c>
      <c r="W746" s="3" t="s">
        <v>24</v>
      </c>
      <c r="X746" s="3" t="s">
        <v>24</v>
      </c>
      <c r="Y746" s="3" t="s">
        <v>86</v>
      </c>
      <c r="Z746" s="3" t="s">
        <v>25</v>
      </c>
      <c r="AA746" s="3" t="s">
        <v>25</v>
      </c>
      <c r="AB746" s="3" t="str">
        <f>IF(crimenes_cordoba_ampliado[[#This Row],[Hubo Arresto]]="Sí", "Resuelto", "Pendiente")</f>
        <v>Resuelto</v>
      </c>
      <c r="AC746" s="3" t="s">
        <v>192</v>
      </c>
      <c r="AD746" s="3"/>
    </row>
    <row r="747" spans="1:30" x14ac:dyDescent="0.25">
      <c r="A747">
        <v>727</v>
      </c>
      <c r="B747" s="1">
        <v>44792</v>
      </c>
      <c r="C747" s="33">
        <f t="shared" si="22"/>
        <v>44792</v>
      </c>
      <c r="D747" s="34">
        <f t="shared" si="23"/>
        <v>44792</v>
      </c>
      <c r="E747" s="35" t="s">
        <v>1455</v>
      </c>
      <c r="F747" s="2">
        <v>0.78402777777777777</v>
      </c>
      <c r="G747" s="3" t="s">
        <v>48</v>
      </c>
      <c r="H747" s="3" t="s">
        <v>20</v>
      </c>
      <c r="I747" s="25" t="str">
        <f>VLOOKUP(H747,Tabla5[#All],4,FALSE)</f>
        <v>-31,4800162965848, -64,2094200976892</v>
      </c>
      <c r="J747" s="1">
        <v>37371</v>
      </c>
      <c r="K747" s="7">
        <f>INT((crimenes_cordoba_ampliado[[#This Row],[Fecha]]-crimenes_cordoba_ampliado[[#This Row],[Fecha Nac. Delincuente]])/365)</f>
        <v>20</v>
      </c>
      <c r="L747" s="7" t="str">
        <f>_xlfn.XLOOKUP(crimenes_cordoba_ampliado[[#This Row],[EDAD DELINCUENTE]],'Rango etareo'!$A$10:$A$25,'Rango etareo'!$B$10:$B$25,,-1)</f>
        <v>18 - 25</v>
      </c>
      <c r="M747" s="3" t="s">
        <v>22</v>
      </c>
      <c r="N747" s="3" t="str">
        <f>IF(crimenes_cordoba_ampliado[[#This Row],[Género Delincuente]]="Femenino","🚺","🚹")</f>
        <v>🚹</v>
      </c>
      <c r="O747">
        <v>5</v>
      </c>
      <c r="P747" s="1">
        <v>35892</v>
      </c>
      <c r="Q747" s="7">
        <f>INT((crimenes_cordoba_ampliado[[#This Row],[Fecha]]-crimenes_cordoba_ampliado[[#This Row],[Fecha Nac. Víctima]])/365)</f>
        <v>24</v>
      </c>
      <c r="R747" s="7" t="str">
        <f>_xlfn.XLOOKUP(crimenes_cordoba_ampliado[[#This Row],[EDAD VICTIMA]],'Rango etareo'!$A$2:$A$25,'Rango etareo'!$B$2:$B$25,,-1)</f>
        <v>18 - 25</v>
      </c>
      <c r="S747" s="3" t="s">
        <v>21</v>
      </c>
      <c r="T747" s="3" t="str">
        <f>IF(crimenes_cordoba_ampliado[[#This Row],[Género Víctima]]="Masculino","🚹","🚺")</f>
        <v>🚺</v>
      </c>
      <c r="U747">
        <v>2</v>
      </c>
      <c r="V747" s="3" t="s">
        <v>23</v>
      </c>
      <c r="W747" s="3" t="s">
        <v>24</v>
      </c>
      <c r="X747" s="3" t="s">
        <v>24</v>
      </c>
      <c r="Y747" s="3" t="s">
        <v>106</v>
      </c>
      <c r="Z747" s="3" t="s">
        <v>23</v>
      </c>
      <c r="AA747" s="3" t="s">
        <v>23</v>
      </c>
      <c r="AB747" s="3" t="str">
        <f>IF(crimenes_cordoba_ampliado[[#This Row],[Hubo Arresto]]="Sí", "Resuelto", "Pendiente")</f>
        <v>Resuelto</v>
      </c>
      <c r="AC747" s="3" t="s">
        <v>220</v>
      </c>
      <c r="AD747" s="3"/>
    </row>
    <row r="748" spans="1:30" x14ac:dyDescent="0.25">
      <c r="A748">
        <v>647</v>
      </c>
      <c r="B748" s="1">
        <v>44805</v>
      </c>
      <c r="C748" s="33">
        <f t="shared" si="22"/>
        <v>44805</v>
      </c>
      <c r="D748" s="34">
        <f t="shared" si="23"/>
        <v>44805</v>
      </c>
      <c r="E748" s="35" t="s">
        <v>1454</v>
      </c>
      <c r="F748" s="2">
        <v>0.91736111111111107</v>
      </c>
      <c r="G748" s="3" t="s">
        <v>38</v>
      </c>
      <c r="H748" s="3" t="s">
        <v>40</v>
      </c>
      <c r="I748" s="25" t="str">
        <f>VLOOKUP(H748,Tabla5[#All],4,FALSE)</f>
        <v>-31,334500143441, -64,2460773260564</v>
      </c>
      <c r="J748" s="1">
        <v>38917</v>
      </c>
      <c r="K748" s="7">
        <f>INT((crimenes_cordoba_ampliado[[#This Row],[Fecha]]-crimenes_cordoba_ampliado[[#This Row],[Fecha Nac. Delincuente]])/365)</f>
        <v>16</v>
      </c>
      <c r="L748" s="7" t="str">
        <f>_xlfn.XLOOKUP(crimenes_cordoba_ampliado[[#This Row],[EDAD DELINCUENTE]],'Rango etareo'!$A$10:$A$25,'Rango etareo'!$B$10:$B$25,,-1)</f>
        <v>&lt;=17</v>
      </c>
      <c r="M748" s="3" t="s">
        <v>22</v>
      </c>
      <c r="N748" s="3" t="str">
        <f>IF(crimenes_cordoba_ampliado[[#This Row],[Género Delincuente]]="Femenino","🚺","🚹")</f>
        <v>🚹</v>
      </c>
      <c r="O748">
        <v>3</v>
      </c>
      <c r="P748" s="1">
        <v>19133</v>
      </c>
      <c r="Q748" s="7">
        <f>INT((crimenes_cordoba_ampliado[[#This Row],[Fecha]]-crimenes_cordoba_ampliado[[#This Row],[Fecha Nac. Víctima]])/365)</f>
        <v>70</v>
      </c>
      <c r="R748" s="7" t="str">
        <f>_xlfn.XLOOKUP(crimenes_cordoba_ampliado[[#This Row],[EDAD VICTIMA]],'Rango etareo'!$A$2:$A$25,'Rango etareo'!$B$2:$B$25,,-1)</f>
        <v>&gt;65</v>
      </c>
      <c r="S748" s="3" t="s">
        <v>21</v>
      </c>
      <c r="T748" s="3" t="str">
        <f>IF(crimenes_cordoba_ampliado[[#This Row],[Género Víctima]]="Masculino","🚹","🚺")</f>
        <v>🚺</v>
      </c>
      <c r="U748">
        <v>2</v>
      </c>
      <c r="V748" s="3" t="s">
        <v>25</v>
      </c>
      <c r="W748" s="3" t="s">
        <v>24</v>
      </c>
      <c r="X748" s="3" t="s">
        <v>24</v>
      </c>
      <c r="Y748" s="3" t="s">
        <v>106</v>
      </c>
      <c r="Z748" s="3" t="s">
        <v>25</v>
      </c>
      <c r="AA748" s="3" t="s">
        <v>25</v>
      </c>
      <c r="AB748" s="3" t="str">
        <f>IF(crimenes_cordoba_ampliado[[#This Row],[Hubo Arresto]]="Sí", "Resuelto", "Pendiente")</f>
        <v>Pendiente</v>
      </c>
      <c r="AC748" s="3" t="s">
        <v>24</v>
      </c>
      <c r="AD748" s="3"/>
    </row>
    <row r="749" spans="1:30" x14ac:dyDescent="0.25">
      <c r="A749">
        <v>728</v>
      </c>
      <c r="B749" s="1">
        <v>42740</v>
      </c>
      <c r="C749" s="33">
        <f t="shared" si="22"/>
        <v>42740</v>
      </c>
      <c r="D749" s="34">
        <f t="shared" si="23"/>
        <v>42740</v>
      </c>
      <c r="E749" s="35" t="s">
        <v>1454</v>
      </c>
      <c r="F749" s="2">
        <v>0.9375</v>
      </c>
      <c r="G749" s="3" t="s">
        <v>45</v>
      </c>
      <c r="H749" s="3" t="s">
        <v>40</v>
      </c>
      <c r="I749" s="25" t="str">
        <f>VLOOKUP(H749,Tabla5[#All],4,FALSE)</f>
        <v>-31,334500143441, -64,2460773260564</v>
      </c>
      <c r="J749" s="1">
        <v>38955</v>
      </c>
      <c r="K749" s="7">
        <f>INT((crimenes_cordoba_ampliado[[#This Row],[Fecha]]-crimenes_cordoba_ampliado[[#This Row],[Fecha Nac. Delincuente]])/365)</f>
        <v>10</v>
      </c>
      <c r="L749" s="7" t="str">
        <f>_xlfn.XLOOKUP(crimenes_cordoba_ampliado[[#This Row],[EDAD DELINCUENTE]],'Rango etareo'!$A$10:$A$25,'Rango etareo'!$B$10:$B$25,,-1)</f>
        <v>&lt;=17</v>
      </c>
      <c r="M749" s="3" t="s">
        <v>21</v>
      </c>
      <c r="N749" s="3" t="str">
        <f>IF(crimenes_cordoba_ampliado[[#This Row],[Género Delincuente]]="Femenino","🚺","🚹")</f>
        <v>🚺</v>
      </c>
      <c r="O749">
        <v>3</v>
      </c>
      <c r="P749" s="1">
        <v>33591</v>
      </c>
      <c r="Q749" s="7">
        <f>INT((crimenes_cordoba_ampliado[[#This Row],[Fecha]]-crimenes_cordoba_ampliado[[#This Row],[Fecha Nac. Víctima]])/365)</f>
        <v>25</v>
      </c>
      <c r="R749" s="7" t="str">
        <f>_xlfn.XLOOKUP(crimenes_cordoba_ampliado[[#This Row],[EDAD VICTIMA]],'Rango etareo'!$A$2:$A$25,'Rango etareo'!$B$2:$B$25,,-1)</f>
        <v>18 - 25</v>
      </c>
      <c r="S749" s="3" t="s">
        <v>22</v>
      </c>
      <c r="T749" s="3" t="str">
        <f>IF(crimenes_cordoba_ampliado[[#This Row],[Género Víctima]]="Masculino","🚹","🚺")</f>
        <v>🚹</v>
      </c>
      <c r="U749">
        <v>1</v>
      </c>
      <c r="V749" s="3" t="s">
        <v>23</v>
      </c>
      <c r="W749" s="3" t="s">
        <v>83</v>
      </c>
      <c r="X749" s="3" t="s">
        <v>24</v>
      </c>
      <c r="Y749" s="3" t="s">
        <v>99</v>
      </c>
      <c r="Z749" s="3" t="s">
        <v>25</v>
      </c>
      <c r="AA749" s="3" t="s">
        <v>23</v>
      </c>
      <c r="AB749" s="3" t="str">
        <f>IF(crimenes_cordoba_ampliado[[#This Row],[Hubo Arresto]]="Sí", "Resuelto", "Pendiente")</f>
        <v>Resuelto</v>
      </c>
      <c r="AC749" s="3" t="s">
        <v>296</v>
      </c>
      <c r="AD749" s="3"/>
    </row>
    <row r="750" spans="1:30" x14ac:dyDescent="0.25">
      <c r="A750">
        <v>955</v>
      </c>
      <c r="B750" s="1">
        <v>44812</v>
      </c>
      <c r="C750" s="33">
        <f t="shared" si="22"/>
        <v>44812</v>
      </c>
      <c r="D750" s="34">
        <f t="shared" si="23"/>
        <v>44812</v>
      </c>
      <c r="E750" s="35" t="s">
        <v>1454</v>
      </c>
      <c r="F750" s="2">
        <v>0.40555555555555556</v>
      </c>
      <c r="G750" s="3" t="s">
        <v>42</v>
      </c>
      <c r="H750" s="3" t="s">
        <v>52</v>
      </c>
      <c r="I750" s="25" t="str">
        <f>VLOOKUP(H750,Tabla5[#All],4,FALSE)</f>
        <v>-31,3477902896523, -64,2644406169297</v>
      </c>
      <c r="J750" s="1">
        <v>29002</v>
      </c>
      <c r="K750" s="7">
        <f>INT((crimenes_cordoba_ampliado[[#This Row],[Fecha]]-crimenes_cordoba_ampliado[[#This Row],[Fecha Nac. Delincuente]])/365)</f>
        <v>43</v>
      </c>
      <c r="L750" s="7" t="str">
        <f>_xlfn.XLOOKUP(crimenes_cordoba_ampliado[[#This Row],[EDAD DELINCUENTE]],'Rango etareo'!$A$10:$A$25,'Rango etareo'!$B$10:$B$25,,-1)</f>
        <v>36 - 45</v>
      </c>
      <c r="M750" s="3" t="s">
        <v>22</v>
      </c>
      <c r="N750" s="3" t="str">
        <f>IF(crimenes_cordoba_ampliado[[#This Row],[Género Delincuente]]="Femenino","🚺","🚹")</f>
        <v>🚹</v>
      </c>
      <c r="O750">
        <v>5</v>
      </c>
      <c r="P750" s="1">
        <v>14697</v>
      </c>
      <c r="Q750" s="7">
        <f>INT((crimenes_cordoba_ampliado[[#This Row],[Fecha]]-crimenes_cordoba_ampliado[[#This Row],[Fecha Nac. Víctima]])/365)</f>
        <v>82</v>
      </c>
      <c r="R750" s="7" t="str">
        <f>_xlfn.XLOOKUP(crimenes_cordoba_ampliado[[#This Row],[EDAD VICTIMA]],'Rango etareo'!$A$2:$A$25,'Rango etareo'!$B$2:$B$25,,-1)</f>
        <v>&gt;65</v>
      </c>
      <c r="S750" s="3" t="s">
        <v>21</v>
      </c>
      <c r="T750" s="3" t="str">
        <f>IF(crimenes_cordoba_ampliado[[#This Row],[Género Víctima]]="Masculino","🚹","🚺")</f>
        <v>🚺</v>
      </c>
      <c r="U750">
        <v>3</v>
      </c>
      <c r="V750" s="3" t="s">
        <v>25</v>
      </c>
      <c r="W750" s="3" t="s">
        <v>24</v>
      </c>
      <c r="X750" s="3" t="s">
        <v>24</v>
      </c>
      <c r="Y750" s="3" t="s">
        <v>56</v>
      </c>
      <c r="Z750" s="3" t="s">
        <v>23</v>
      </c>
      <c r="AA750" s="3" t="s">
        <v>25</v>
      </c>
      <c r="AB750" s="3" t="str">
        <f>IF(crimenes_cordoba_ampliado[[#This Row],[Hubo Arresto]]="Sí", "Resuelto", "Pendiente")</f>
        <v>Pendiente</v>
      </c>
      <c r="AC750" s="3" t="s">
        <v>24</v>
      </c>
      <c r="AD750" s="3"/>
    </row>
    <row r="751" spans="1:30" x14ac:dyDescent="0.25">
      <c r="A751">
        <v>68</v>
      </c>
      <c r="B751" s="1">
        <v>44829</v>
      </c>
      <c r="C751" s="33">
        <f t="shared" si="22"/>
        <v>44829</v>
      </c>
      <c r="D751" s="34">
        <f t="shared" si="23"/>
        <v>44829</v>
      </c>
      <c r="E751" s="35" t="s">
        <v>1449</v>
      </c>
      <c r="F751" s="2">
        <v>0.43402777777777779</v>
      </c>
      <c r="G751" s="3" t="s">
        <v>45</v>
      </c>
      <c r="H751" s="3" t="s">
        <v>52</v>
      </c>
      <c r="I751" s="25" t="str">
        <f>VLOOKUP(H751,Tabla5[#All],4,FALSE)</f>
        <v>-31,3477902896523, -64,2644406169297</v>
      </c>
      <c r="J751" s="1">
        <v>38479</v>
      </c>
      <c r="K751" s="7">
        <f>INT((crimenes_cordoba_ampliado[[#This Row],[Fecha]]-crimenes_cordoba_ampliado[[#This Row],[Fecha Nac. Delincuente]])/365)</f>
        <v>17</v>
      </c>
      <c r="L751" s="7" t="str">
        <f>_xlfn.XLOOKUP(crimenes_cordoba_ampliado[[#This Row],[EDAD DELINCUENTE]],'Rango etareo'!$A$10:$A$25,'Rango etareo'!$B$10:$B$25,,-1)</f>
        <v>&lt;=17</v>
      </c>
      <c r="M751" s="3" t="s">
        <v>22</v>
      </c>
      <c r="N751" s="3" t="str">
        <f>IF(crimenes_cordoba_ampliado[[#This Row],[Género Delincuente]]="Femenino","🚺","🚹")</f>
        <v>🚹</v>
      </c>
      <c r="O751">
        <v>1</v>
      </c>
      <c r="P751" s="1">
        <v>37823</v>
      </c>
      <c r="Q751" s="7">
        <f>INT((crimenes_cordoba_ampliado[[#This Row],[Fecha]]-crimenes_cordoba_ampliado[[#This Row],[Fecha Nac. Víctima]])/365)</f>
        <v>19</v>
      </c>
      <c r="R751" s="7" t="str">
        <f>_xlfn.XLOOKUP(crimenes_cordoba_ampliado[[#This Row],[EDAD VICTIMA]],'Rango etareo'!$A$2:$A$25,'Rango etareo'!$B$2:$B$25,,-1)</f>
        <v>18 - 25</v>
      </c>
      <c r="S751" s="3" t="s">
        <v>22</v>
      </c>
      <c r="T751" s="3" t="str">
        <f>IF(crimenes_cordoba_ampliado[[#This Row],[Género Víctima]]="Masculino","🚹","🚺")</f>
        <v>🚹</v>
      </c>
      <c r="U751">
        <v>1</v>
      </c>
      <c r="V751" s="3" t="s">
        <v>25</v>
      </c>
      <c r="W751" s="3" t="s">
        <v>24</v>
      </c>
      <c r="X751" s="3" t="s">
        <v>24</v>
      </c>
      <c r="Y751" s="3" t="s">
        <v>39</v>
      </c>
      <c r="Z751" s="3" t="s">
        <v>25</v>
      </c>
      <c r="AA751" s="3" t="s">
        <v>25</v>
      </c>
      <c r="AB751" s="3" t="str">
        <f>IF(crimenes_cordoba_ampliado[[#This Row],[Hubo Arresto]]="Sí", "Resuelto", "Pendiente")</f>
        <v>Pendiente</v>
      </c>
      <c r="AC751" s="3" t="s">
        <v>24</v>
      </c>
      <c r="AD751" s="3"/>
    </row>
    <row r="752" spans="1:30" x14ac:dyDescent="0.25">
      <c r="A752">
        <v>729</v>
      </c>
      <c r="B752" s="1">
        <v>44766</v>
      </c>
      <c r="C752" s="33">
        <f t="shared" si="22"/>
        <v>44766</v>
      </c>
      <c r="D752" s="34">
        <f t="shared" si="23"/>
        <v>44766</v>
      </c>
      <c r="E752" s="35" t="s">
        <v>1449</v>
      </c>
      <c r="F752" s="2">
        <v>0.10347222222222222</v>
      </c>
      <c r="G752" s="3" t="s">
        <v>38</v>
      </c>
      <c r="H752" s="3" t="s">
        <v>55</v>
      </c>
      <c r="I752" s="25" t="str">
        <f>VLOOKUP(H752,Tabla5[#All],4,FALSE)</f>
        <v>-31,4015892433235, -64,160442876477</v>
      </c>
      <c r="J752" s="1">
        <v>30098</v>
      </c>
      <c r="K752" s="7">
        <f>INT((crimenes_cordoba_ampliado[[#This Row],[Fecha]]-crimenes_cordoba_ampliado[[#This Row],[Fecha Nac. Delincuente]])/365)</f>
        <v>40</v>
      </c>
      <c r="L752" s="7" t="str">
        <f>_xlfn.XLOOKUP(crimenes_cordoba_ampliado[[#This Row],[EDAD DELINCUENTE]],'Rango etareo'!$A$10:$A$25,'Rango etareo'!$B$10:$B$25,,-1)</f>
        <v>36 - 45</v>
      </c>
      <c r="M752" s="3" t="s">
        <v>22</v>
      </c>
      <c r="N752" s="3" t="str">
        <f>IF(crimenes_cordoba_ampliado[[#This Row],[Género Delincuente]]="Femenino","🚺","🚹")</f>
        <v>🚹</v>
      </c>
      <c r="O752">
        <v>1</v>
      </c>
      <c r="P752" s="1">
        <v>37180</v>
      </c>
      <c r="Q752" s="7">
        <f>INT((crimenes_cordoba_ampliado[[#This Row],[Fecha]]-crimenes_cordoba_ampliado[[#This Row],[Fecha Nac. Víctima]])/365)</f>
        <v>20</v>
      </c>
      <c r="R752" s="7" t="str">
        <f>_xlfn.XLOOKUP(crimenes_cordoba_ampliado[[#This Row],[EDAD VICTIMA]],'Rango etareo'!$A$2:$A$25,'Rango etareo'!$B$2:$B$25,,-1)</f>
        <v>18 - 25</v>
      </c>
      <c r="S752" s="3" t="s">
        <v>21</v>
      </c>
      <c r="T752" s="3" t="str">
        <f>IF(crimenes_cordoba_ampliado[[#This Row],[Género Víctima]]="Masculino","🚹","🚺")</f>
        <v>🚺</v>
      </c>
      <c r="U752">
        <v>2</v>
      </c>
      <c r="V752" s="3" t="s">
        <v>23</v>
      </c>
      <c r="W752" s="3" t="s">
        <v>24</v>
      </c>
      <c r="X752" s="3" t="s">
        <v>24</v>
      </c>
      <c r="Y752" s="3" t="s">
        <v>53</v>
      </c>
      <c r="Z752" s="3" t="s">
        <v>25</v>
      </c>
      <c r="AA752" s="3" t="s">
        <v>25</v>
      </c>
      <c r="AB752" s="3" t="str">
        <f>IF(crimenes_cordoba_ampliado[[#This Row],[Hubo Arresto]]="Sí", "Resuelto", "Pendiente")</f>
        <v>Resuelto</v>
      </c>
      <c r="AC752" s="3" t="s">
        <v>297</v>
      </c>
      <c r="AD752" s="3"/>
    </row>
    <row r="753" spans="1:30" x14ac:dyDescent="0.25">
      <c r="A753">
        <v>195</v>
      </c>
      <c r="B753" s="1">
        <v>44836</v>
      </c>
      <c r="C753" s="33">
        <f t="shared" si="22"/>
        <v>44836</v>
      </c>
      <c r="D753" s="34">
        <f t="shared" si="23"/>
        <v>44836</v>
      </c>
      <c r="E753" s="35" t="s">
        <v>1449</v>
      </c>
      <c r="F753" s="2">
        <v>0.20902777777777778</v>
      </c>
      <c r="G753" s="3" t="s">
        <v>45</v>
      </c>
      <c r="H753" s="3" t="s">
        <v>32</v>
      </c>
      <c r="I753" s="25" t="str">
        <f>VLOOKUP(H753,Tabla5[#All],4,FALSE)</f>
        <v>-31,4148488101991, -64,1793406489438</v>
      </c>
      <c r="J753" s="1">
        <v>27932</v>
      </c>
      <c r="K753" s="7">
        <f>INT((crimenes_cordoba_ampliado[[#This Row],[Fecha]]-crimenes_cordoba_ampliado[[#This Row],[Fecha Nac. Delincuente]])/365)</f>
        <v>46</v>
      </c>
      <c r="L753" s="7" t="str">
        <f>_xlfn.XLOOKUP(crimenes_cordoba_ampliado[[#This Row],[EDAD DELINCUENTE]],'Rango etareo'!$A$10:$A$25,'Rango etareo'!$B$10:$B$25,,-1)</f>
        <v>46 - 55</v>
      </c>
      <c r="M753" s="3" t="s">
        <v>22</v>
      </c>
      <c r="N753" s="3" t="str">
        <f>IF(crimenes_cordoba_ampliado[[#This Row],[Género Delincuente]]="Femenino","🚺","🚹")</f>
        <v>🚹</v>
      </c>
      <c r="O753">
        <v>3</v>
      </c>
      <c r="P753" s="1">
        <v>25212</v>
      </c>
      <c r="Q753" s="7">
        <f>INT((crimenes_cordoba_ampliado[[#This Row],[Fecha]]-crimenes_cordoba_ampliado[[#This Row],[Fecha Nac. Víctima]])/365)</f>
        <v>53</v>
      </c>
      <c r="R753" s="7" t="str">
        <f>_xlfn.XLOOKUP(crimenes_cordoba_ampliado[[#This Row],[EDAD VICTIMA]],'Rango etareo'!$A$2:$A$25,'Rango etareo'!$B$2:$B$25,,-1)</f>
        <v>46 - 55</v>
      </c>
      <c r="S753" s="3" t="s">
        <v>21</v>
      </c>
      <c r="T753" s="3" t="str">
        <f>IF(crimenes_cordoba_ampliado[[#This Row],[Género Víctima]]="Masculino","🚹","🚺")</f>
        <v>🚺</v>
      </c>
      <c r="U753">
        <v>1</v>
      </c>
      <c r="V753" s="3" t="s">
        <v>25</v>
      </c>
      <c r="W753" s="3" t="s">
        <v>24</v>
      </c>
      <c r="X753" s="3" t="s">
        <v>67</v>
      </c>
      <c r="Y753" s="3" t="s">
        <v>24</v>
      </c>
      <c r="Z753" s="3" t="s">
        <v>23</v>
      </c>
      <c r="AA753" s="3" t="s">
        <v>23</v>
      </c>
      <c r="AB753" s="3" t="str">
        <f>IF(crimenes_cordoba_ampliado[[#This Row],[Hubo Arresto]]="Sí", "Resuelto", "Pendiente")</f>
        <v>Pendiente</v>
      </c>
      <c r="AC753" s="3" t="s">
        <v>24</v>
      </c>
      <c r="AD753" s="3"/>
    </row>
    <row r="754" spans="1:30" x14ac:dyDescent="0.25">
      <c r="A754">
        <v>730</v>
      </c>
      <c r="B754" s="1">
        <v>42517</v>
      </c>
      <c r="C754" s="33">
        <f t="shared" si="22"/>
        <v>42517</v>
      </c>
      <c r="D754" s="34">
        <f t="shared" si="23"/>
        <v>42517</v>
      </c>
      <c r="E754" s="35" t="s">
        <v>1455</v>
      </c>
      <c r="F754" s="2">
        <v>0.12708333333333333</v>
      </c>
      <c r="G754" s="3" t="s">
        <v>31</v>
      </c>
      <c r="H754" s="3" t="s">
        <v>55</v>
      </c>
      <c r="I754" s="25" t="str">
        <f>VLOOKUP(H754,Tabla5[#All],4,FALSE)</f>
        <v>-31,4015892433235, -64,160442876477</v>
      </c>
      <c r="J754" s="1">
        <v>35620</v>
      </c>
      <c r="K754" s="7">
        <f>INT((crimenes_cordoba_ampliado[[#This Row],[Fecha]]-crimenes_cordoba_ampliado[[#This Row],[Fecha Nac. Delincuente]])/365)</f>
        <v>18</v>
      </c>
      <c r="L754" s="7" t="str">
        <f>_xlfn.XLOOKUP(crimenes_cordoba_ampliado[[#This Row],[EDAD DELINCUENTE]],'Rango etareo'!$A$10:$A$25,'Rango etareo'!$B$10:$B$25,,-1)</f>
        <v>18 - 25</v>
      </c>
      <c r="M754" s="3" t="s">
        <v>22</v>
      </c>
      <c r="N754" s="3" t="str">
        <f>IF(crimenes_cordoba_ampliado[[#This Row],[Género Delincuente]]="Femenino","🚺","🚹")</f>
        <v>🚹</v>
      </c>
      <c r="O754">
        <v>3</v>
      </c>
      <c r="P754" s="1">
        <v>36998</v>
      </c>
      <c r="Q754" s="7">
        <f>INT((crimenes_cordoba_ampliado[[#This Row],[Fecha]]-crimenes_cordoba_ampliado[[#This Row],[Fecha Nac. Víctima]])/365)</f>
        <v>15</v>
      </c>
      <c r="R754" s="7" t="str">
        <f>_xlfn.XLOOKUP(crimenes_cordoba_ampliado[[#This Row],[EDAD VICTIMA]],'Rango etareo'!$A$2:$A$25,'Rango etareo'!$B$2:$B$25,,-1)</f>
        <v>&lt;=17</v>
      </c>
      <c r="S754" s="3" t="s">
        <v>22</v>
      </c>
      <c r="T754" s="3" t="str">
        <f>IF(crimenes_cordoba_ampliado[[#This Row],[Género Víctima]]="Masculino","🚹","🚺")</f>
        <v>🚹</v>
      </c>
      <c r="U754">
        <v>1</v>
      </c>
      <c r="V754" s="3" t="s">
        <v>23</v>
      </c>
      <c r="W754" s="3" t="s">
        <v>24</v>
      </c>
      <c r="X754" s="3" t="s">
        <v>24</v>
      </c>
      <c r="Y754" s="3" t="s">
        <v>106</v>
      </c>
      <c r="Z754" s="3" t="s">
        <v>23</v>
      </c>
      <c r="AA754" s="3" t="s">
        <v>23</v>
      </c>
      <c r="AB754" s="3" t="str">
        <f>IF(crimenes_cordoba_ampliado[[#This Row],[Hubo Arresto]]="Sí", "Resuelto", "Pendiente")</f>
        <v>Resuelto</v>
      </c>
      <c r="AC754" s="3" t="s">
        <v>238</v>
      </c>
      <c r="AD754" s="3"/>
    </row>
    <row r="755" spans="1:30" x14ac:dyDescent="0.25">
      <c r="A755">
        <v>731</v>
      </c>
      <c r="B755" s="1">
        <v>45288</v>
      </c>
      <c r="C755" s="33">
        <f t="shared" si="22"/>
        <v>45288</v>
      </c>
      <c r="D755" s="34">
        <f t="shared" si="23"/>
        <v>45288</v>
      </c>
      <c r="E755" s="35" t="s">
        <v>1454</v>
      </c>
      <c r="F755" s="2">
        <v>0.6069444444444444</v>
      </c>
      <c r="G755" s="3" t="s">
        <v>54</v>
      </c>
      <c r="H755" s="3" t="s">
        <v>70</v>
      </c>
      <c r="I755" s="25" t="str">
        <f>VLOOKUP(H755,Tabla5[#All],4,FALSE)</f>
        <v>-31,3759272890294, -64,2284587792478</v>
      </c>
      <c r="J755" s="1">
        <v>38774</v>
      </c>
      <c r="K755" s="7">
        <f>INT((crimenes_cordoba_ampliado[[#This Row],[Fecha]]-crimenes_cordoba_ampliado[[#This Row],[Fecha Nac. Delincuente]])/365)</f>
        <v>17</v>
      </c>
      <c r="L755" s="7" t="str">
        <f>_xlfn.XLOOKUP(crimenes_cordoba_ampliado[[#This Row],[EDAD DELINCUENTE]],'Rango etareo'!$A$10:$A$25,'Rango etareo'!$B$10:$B$25,,-1)</f>
        <v>&lt;=17</v>
      </c>
      <c r="M755" s="3" t="s">
        <v>21</v>
      </c>
      <c r="N755" s="3" t="str">
        <f>IF(crimenes_cordoba_ampliado[[#This Row],[Género Delincuente]]="Femenino","🚺","🚹")</f>
        <v>🚺</v>
      </c>
      <c r="O755">
        <v>3</v>
      </c>
      <c r="P755" s="1">
        <v>39871</v>
      </c>
      <c r="Q755" s="7">
        <f>INT((crimenes_cordoba_ampliado[[#This Row],[Fecha]]-crimenes_cordoba_ampliado[[#This Row],[Fecha Nac. Víctima]])/365)</f>
        <v>14</v>
      </c>
      <c r="R755" s="7" t="str">
        <f>_xlfn.XLOOKUP(crimenes_cordoba_ampliado[[#This Row],[EDAD VICTIMA]],'Rango etareo'!$A$2:$A$25,'Rango etareo'!$B$2:$B$25,,-1)</f>
        <v>&lt;=17</v>
      </c>
      <c r="S755" s="3" t="s">
        <v>21</v>
      </c>
      <c r="T755" s="3" t="str">
        <f>IF(crimenes_cordoba_ampliado[[#This Row],[Género Víctima]]="Masculino","🚹","🚺")</f>
        <v>🚺</v>
      </c>
      <c r="U755">
        <v>3</v>
      </c>
      <c r="V755" s="3" t="s">
        <v>23</v>
      </c>
      <c r="W755" s="3" t="s">
        <v>24</v>
      </c>
      <c r="X755" s="3" t="s">
        <v>24</v>
      </c>
      <c r="Y755" s="3" t="s">
        <v>43</v>
      </c>
      <c r="Z755" s="3" t="s">
        <v>25</v>
      </c>
      <c r="AA755" s="3" t="s">
        <v>23</v>
      </c>
      <c r="AB755" s="3" t="str">
        <f>IF(crimenes_cordoba_ampliado[[#This Row],[Hubo Arresto]]="Sí", "Resuelto", "Pendiente")</f>
        <v>Resuelto</v>
      </c>
      <c r="AC755" s="3" t="s">
        <v>228</v>
      </c>
      <c r="AD755" s="3"/>
    </row>
    <row r="756" spans="1:30" x14ac:dyDescent="0.25">
      <c r="A756">
        <v>733</v>
      </c>
      <c r="B756" s="1">
        <v>42609</v>
      </c>
      <c r="C756" s="33">
        <f t="shared" si="22"/>
        <v>42609</v>
      </c>
      <c r="D756" s="34">
        <f t="shared" si="23"/>
        <v>42609</v>
      </c>
      <c r="E756" s="35" t="s">
        <v>1451</v>
      </c>
      <c r="F756" s="2">
        <v>5.486111111111111E-2</v>
      </c>
      <c r="G756" s="3" t="s">
        <v>81</v>
      </c>
      <c r="H756" s="3" t="s">
        <v>49</v>
      </c>
      <c r="I756" s="25" t="str">
        <f>VLOOKUP(H756,Tabla5[#All],4,FALSE)</f>
        <v>-31,4506257494184, -64,1733054344705</v>
      </c>
      <c r="J756" s="1">
        <v>33643</v>
      </c>
      <c r="K756" s="7">
        <f>INT((crimenes_cordoba_ampliado[[#This Row],[Fecha]]-crimenes_cordoba_ampliado[[#This Row],[Fecha Nac. Delincuente]])/365)</f>
        <v>24</v>
      </c>
      <c r="L756" s="7" t="str">
        <f>_xlfn.XLOOKUP(crimenes_cordoba_ampliado[[#This Row],[EDAD DELINCUENTE]],'Rango etareo'!$A$10:$A$25,'Rango etareo'!$B$10:$B$25,,-1)</f>
        <v>18 - 25</v>
      </c>
      <c r="M756" s="3" t="s">
        <v>22</v>
      </c>
      <c r="N756" s="3" t="str">
        <f>IF(crimenes_cordoba_ampliado[[#This Row],[Género Delincuente]]="Femenino","🚺","🚹")</f>
        <v>🚹</v>
      </c>
      <c r="O756">
        <v>3</v>
      </c>
      <c r="P756" s="1">
        <v>23555</v>
      </c>
      <c r="Q756" s="7">
        <f>INT((crimenes_cordoba_ampliado[[#This Row],[Fecha]]-crimenes_cordoba_ampliado[[#This Row],[Fecha Nac. Víctima]])/365)</f>
        <v>52</v>
      </c>
      <c r="R756" s="7" t="str">
        <f>_xlfn.XLOOKUP(crimenes_cordoba_ampliado[[#This Row],[EDAD VICTIMA]],'Rango etareo'!$A$2:$A$25,'Rango etareo'!$B$2:$B$25,,-1)</f>
        <v>46 - 55</v>
      </c>
      <c r="S756" s="3" t="s">
        <v>21</v>
      </c>
      <c r="T756" s="3" t="str">
        <f>IF(crimenes_cordoba_ampliado[[#This Row],[Género Víctima]]="Masculino","🚹","🚺")</f>
        <v>🚺</v>
      </c>
      <c r="U756">
        <v>1</v>
      </c>
      <c r="V756" s="3" t="s">
        <v>23</v>
      </c>
      <c r="W756" s="3" t="s">
        <v>24</v>
      </c>
      <c r="X756" s="3" t="s">
        <v>24</v>
      </c>
      <c r="Y756" s="3" t="s">
        <v>106</v>
      </c>
      <c r="Z756" s="3" t="s">
        <v>25</v>
      </c>
      <c r="AA756" s="3" t="s">
        <v>25</v>
      </c>
      <c r="AB756" s="3" t="str">
        <f>IF(crimenes_cordoba_ampliado[[#This Row],[Hubo Arresto]]="Sí", "Resuelto", "Pendiente")</f>
        <v>Resuelto</v>
      </c>
      <c r="AC756" s="3" t="s">
        <v>233</v>
      </c>
      <c r="AD756" s="3"/>
    </row>
    <row r="757" spans="1:30" x14ac:dyDescent="0.25">
      <c r="A757">
        <v>734</v>
      </c>
      <c r="B757" s="1">
        <v>43686</v>
      </c>
      <c r="C757" s="33">
        <f t="shared" si="22"/>
        <v>43686</v>
      </c>
      <c r="D757" s="34">
        <f t="shared" si="23"/>
        <v>43686</v>
      </c>
      <c r="E757" s="35" t="s">
        <v>1455</v>
      </c>
      <c r="F757" s="2">
        <v>0.43541666666666667</v>
      </c>
      <c r="G757" s="3" t="s">
        <v>81</v>
      </c>
      <c r="H757" s="3" t="s">
        <v>28</v>
      </c>
      <c r="I757" s="25" t="str">
        <f>VLOOKUP(H757,Tabla5[#All],4,FALSE)</f>
        <v>-31,4129883640337, -64,1681120522587</v>
      </c>
      <c r="J757" s="1">
        <v>30473</v>
      </c>
      <c r="K757" s="7">
        <f>INT((crimenes_cordoba_ampliado[[#This Row],[Fecha]]-crimenes_cordoba_ampliado[[#This Row],[Fecha Nac. Delincuente]])/365)</f>
        <v>36</v>
      </c>
      <c r="L757" s="7" t="str">
        <f>_xlfn.XLOOKUP(crimenes_cordoba_ampliado[[#This Row],[EDAD DELINCUENTE]],'Rango etareo'!$A$10:$A$25,'Rango etareo'!$B$10:$B$25,,-1)</f>
        <v>36 - 45</v>
      </c>
      <c r="M757" s="3" t="s">
        <v>22</v>
      </c>
      <c r="N757" s="3" t="str">
        <f>IF(crimenes_cordoba_ampliado[[#This Row],[Género Delincuente]]="Femenino","🚺","🚹")</f>
        <v>🚹</v>
      </c>
      <c r="O757">
        <v>4</v>
      </c>
      <c r="P757" s="1">
        <v>17447</v>
      </c>
      <c r="Q757" s="7">
        <f>INT((crimenes_cordoba_ampliado[[#This Row],[Fecha]]-crimenes_cordoba_ampliado[[#This Row],[Fecha Nac. Víctima]])/365)</f>
        <v>71</v>
      </c>
      <c r="R757" s="7" t="str">
        <f>_xlfn.XLOOKUP(crimenes_cordoba_ampliado[[#This Row],[EDAD VICTIMA]],'Rango etareo'!$A$2:$A$25,'Rango etareo'!$B$2:$B$25,,-1)</f>
        <v>&gt;65</v>
      </c>
      <c r="S757" s="3" t="s">
        <v>22</v>
      </c>
      <c r="T757" s="3" t="str">
        <f>IF(crimenes_cordoba_ampliado[[#This Row],[Género Víctima]]="Masculino","🚹","🚺")</f>
        <v>🚹</v>
      </c>
      <c r="U757">
        <v>3</v>
      </c>
      <c r="V757" s="3" t="s">
        <v>23</v>
      </c>
      <c r="W757" s="3" t="s">
        <v>24</v>
      </c>
      <c r="X757" s="3" t="s">
        <v>24</v>
      </c>
      <c r="Y757" s="3" t="s">
        <v>69</v>
      </c>
      <c r="Z757" s="3" t="s">
        <v>25</v>
      </c>
      <c r="AA757" s="3" t="s">
        <v>23</v>
      </c>
      <c r="AB757" s="3" t="str">
        <f>IF(crimenes_cordoba_ampliado[[#This Row],[Hubo Arresto]]="Sí", "Resuelto", "Pendiente")</f>
        <v>Resuelto</v>
      </c>
      <c r="AC757" s="3" t="s">
        <v>295</v>
      </c>
      <c r="AD757" s="3"/>
    </row>
    <row r="758" spans="1:30" x14ac:dyDescent="0.25">
      <c r="A758">
        <v>743</v>
      </c>
      <c r="B758" s="1">
        <v>43219</v>
      </c>
      <c r="C758" s="33">
        <f t="shared" si="22"/>
        <v>43219</v>
      </c>
      <c r="D758" s="34">
        <f t="shared" si="23"/>
        <v>43219</v>
      </c>
      <c r="E758" s="35" t="s">
        <v>1449</v>
      </c>
      <c r="F758" s="2">
        <v>9.4444444444444442E-2</v>
      </c>
      <c r="G758" s="3" t="s">
        <v>81</v>
      </c>
      <c r="H758" s="3" t="s">
        <v>62</v>
      </c>
      <c r="I758" s="25" t="str">
        <f>VLOOKUP(H758,Tabla5[#All],4,FALSE)</f>
        <v>-31,3909520937826, -64,1836424491715</v>
      </c>
      <c r="J758" s="1">
        <v>23014</v>
      </c>
      <c r="K758" s="7">
        <f>INT((crimenes_cordoba_ampliado[[#This Row],[Fecha]]-crimenes_cordoba_ampliado[[#This Row],[Fecha Nac. Delincuente]])/365)</f>
        <v>55</v>
      </c>
      <c r="L758" s="7" t="str">
        <f>_xlfn.XLOOKUP(crimenes_cordoba_ampliado[[#This Row],[EDAD DELINCUENTE]],'Rango etareo'!$A$10:$A$25,'Rango etareo'!$B$10:$B$25,,-1)</f>
        <v>46 - 55</v>
      </c>
      <c r="M758" s="3" t="s">
        <v>22</v>
      </c>
      <c r="N758" s="3" t="str">
        <f>IF(crimenes_cordoba_ampliado[[#This Row],[Género Delincuente]]="Femenino","🚺","🚹")</f>
        <v>🚹</v>
      </c>
      <c r="O758">
        <v>4</v>
      </c>
      <c r="P758" s="1">
        <v>36048</v>
      </c>
      <c r="Q758" s="7">
        <f>INT((crimenes_cordoba_ampliado[[#This Row],[Fecha]]-crimenes_cordoba_ampliado[[#This Row],[Fecha Nac. Víctima]])/365)</f>
        <v>19</v>
      </c>
      <c r="R758" s="7" t="str">
        <f>_xlfn.XLOOKUP(crimenes_cordoba_ampliado[[#This Row],[EDAD VICTIMA]],'Rango etareo'!$A$2:$A$25,'Rango etareo'!$B$2:$B$25,,-1)</f>
        <v>18 - 25</v>
      </c>
      <c r="S758" s="3" t="s">
        <v>21</v>
      </c>
      <c r="T758" s="3" t="str">
        <f>IF(crimenes_cordoba_ampliado[[#This Row],[Género Víctima]]="Masculino","🚹","🚺")</f>
        <v>🚺</v>
      </c>
      <c r="U758">
        <v>1</v>
      </c>
      <c r="V758" s="3" t="s">
        <v>23</v>
      </c>
      <c r="W758" s="3" t="s">
        <v>24</v>
      </c>
      <c r="X758" s="3" t="s">
        <v>24</v>
      </c>
      <c r="Y758" s="3" t="s">
        <v>46</v>
      </c>
      <c r="Z758" s="3" t="s">
        <v>23</v>
      </c>
      <c r="AA758" s="3" t="s">
        <v>25</v>
      </c>
      <c r="AB758" s="3" t="str">
        <f>IF(crimenes_cordoba_ampliado[[#This Row],[Hubo Arresto]]="Sí", "Resuelto", "Pendiente")</f>
        <v>Resuelto</v>
      </c>
      <c r="AC758" s="3" t="s">
        <v>253</v>
      </c>
      <c r="AD758" s="3"/>
    </row>
    <row r="759" spans="1:30" x14ac:dyDescent="0.25">
      <c r="A759">
        <v>495</v>
      </c>
      <c r="B759" s="1">
        <v>44865</v>
      </c>
      <c r="C759" s="33">
        <f t="shared" si="22"/>
        <v>44865</v>
      </c>
      <c r="D759" s="34">
        <f t="shared" si="23"/>
        <v>44865</v>
      </c>
      <c r="E759" s="35" t="s">
        <v>1452</v>
      </c>
      <c r="F759" s="2">
        <v>0.9291666666666667</v>
      </c>
      <c r="G759" s="3" t="s">
        <v>38</v>
      </c>
      <c r="H759" s="3" t="s">
        <v>58</v>
      </c>
      <c r="I759" s="25" t="str">
        <f>VLOOKUP(H759,Tabla5[#All],4,FALSE)</f>
        <v>-31,423018915313, -64,1493562190664</v>
      </c>
      <c r="J759" s="1">
        <v>20631</v>
      </c>
      <c r="K759" s="7">
        <f>INT((crimenes_cordoba_ampliado[[#This Row],[Fecha]]-crimenes_cordoba_ampliado[[#This Row],[Fecha Nac. Delincuente]])/365)</f>
        <v>66</v>
      </c>
      <c r="L759" s="7" t="str">
        <f>_xlfn.XLOOKUP(crimenes_cordoba_ampliado[[#This Row],[EDAD DELINCUENTE]],'Rango etareo'!$A$10:$A$25,'Rango etareo'!$B$10:$B$25,,-1)</f>
        <v>&gt;65</v>
      </c>
      <c r="M759" s="3" t="s">
        <v>22</v>
      </c>
      <c r="N759" s="3" t="str">
        <f>IF(crimenes_cordoba_ampliado[[#This Row],[Género Delincuente]]="Femenino","🚺","🚹")</f>
        <v>🚹</v>
      </c>
      <c r="O759">
        <v>1</v>
      </c>
      <c r="P759" s="1">
        <v>25199</v>
      </c>
      <c r="Q759" s="7">
        <f>INT((crimenes_cordoba_ampliado[[#This Row],[Fecha]]-crimenes_cordoba_ampliado[[#This Row],[Fecha Nac. Víctima]])/365)</f>
        <v>53</v>
      </c>
      <c r="R759" s="7" t="str">
        <f>_xlfn.XLOOKUP(crimenes_cordoba_ampliado[[#This Row],[EDAD VICTIMA]],'Rango etareo'!$A$2:$A$25,'Rango etareo'!$B$2:$B$25,,-1)</f>
        <v>46 - 55</v>
      </c>
      <c r="S759" s="3" t="s">
        <v>21</v>
      </c>
      <c r="T759" s="3" t="str">
        <f>IF(crimenes_cordoba_ampliado[[#This Row],[Género Víctima]]="Masculino","🚹","🚺")</f>
        <v>🚺</v>
      </c>
      <c r="U759">
        <v>3</v>
      </c>
      <c r="V759" s="3" t="s">
        <v>25</v>
      </c>
      <c r="W759" s="3" t="s">
        <v>36</v>
      </c>
      <c r="X759" s="3" t="s">
        <v>24</v>
      </c>
      <c r="Y759" s="3" t="s">
        <v>77</v>
      </c>
      <c r="Z759" s="3" t="s">
        <v>23</v>
      </c>
      <c r="AA759" s="3" t="s">
        <v>25</v>
      </c>
      <c r="AB759" s="3" t="str">
        <f>IF(crimenes_cordoba_ampliado[[#This Row],[Hubo Arresto]]="Sí", "Resuelto", "Pendiente")</f>
        <v>Pendiente</v>
      </c>
      <c r="AC759" s="3" t="s">
        <v>24</v>
      </c>
      <c r="AD759" s="3"/>
    </row>
    <row r="760" spans="1:30" x14ac:dyDescent="0.25">
      <c r="A760">
        <v>320</v>
      </c>
      <c r="B760" s="1">
        <v>44866</v>
      </c>
      <c r="C760" s="33">
        <f t="shared" si="22"/>
        <v>44866</v>
      </c>
      <c r="D760" s="34">
        <f t="shared" si="23"/>
        <v>44866</v>
      </c>
      <c r="E760" s="35" t="s">
        <v>1453</v>
      </c>
      <c r="F760" s="2">
        <v>0.1076388888888889</v>
      </c>
      <c r="G760" s="3" t="s">
        <v>19</v>
      </c>
      <c r="H760" s="3" t="s">
        <v>32</v>
      </c>
      <c r="I760" s="25" t="str">
        <f>VLOOKUP(H760,Tabla5[#All],4,FALSE)</f>
        <v>-31,4148488101991, -64,1793406489438</v>
      </c>
      <c r="J760" s="1">
        <v>31959</v>
      </c>
      <c r="K760" s="7">
        <f>INT((crimenes_cordoba_ampliado[[#This Row],[Fecha]]-crimenes_cordoba_ampliado[[#This Row],[Fecha Nac. Delincuente]])/365)</f>
        <v>35</v>
      </c>
      <c r="L760" s="7" t="str">
        <f>_xlfn.XLOOKUP(crimenes_cordoba_ampliado[[#This Row],[EDAD DELINCUENTE]],'Rango etareo'!$A$10:$A$25,'Rango etareo'!$B$10:$B$25,,-1)</f>
        <v>26 - 35</v>
      </c>
      <c r="M760" s="3" t="s">
        <v>21</v>
      </c>
      <c r="N760" s="3" t="str">
        <f>IF(crimenes_cordoba_ampliado[[#This Row],[Género Delincuente]]="Femenino","🚺","🚹")</f>
        <v>🚺</v>
      </c>
      <c r="O760">
        <v>2</v>
      </c>
      <c r="P760" s="1">
        <v>25230</v>
      </c>
      <c r="Q760" s="7">
        <f>INT((crimenes_cordoba_ampliado[[#This Row],[Fecha]]-crimenes_cordoba_ampliado[[#This Row],[Fecha Nac. Víctima]])/365)</f>
        <v>53</v>
      </c>
      <c r="R760" s="7" t="str">
        <f>_xlfn.XLOOKUP(crimenes_cordoba_ampliado[[#This Row],[EDAD VICTIMA]],'Rango etareo'!$A$2:$A$25,'Rango etareo'!$B$2:$B$25,,-1)</f>
        <v>46 - 55</v>
      </c>
      <c r="S760" s="3" t="s">
        <v>22</v>
      </c>
      <c r="T760" s="3" t="str">
        <f>IF(crimenes_cordoba_ampliado[[#This Row],[Género Víctima]]="Masculino","🚹","🚺")</f>
        <v>🚹</v>
      </c>
      <c r="U760">
        <v>3</v>
      </c>
      <c r="V760" s="3" t="s">
        <v>25</v>
      </c>
      <c r="W760" s="3" t="s">
        <v>24</v>
      </c>
      <c r="X760" s="3" t="s">
        <v>24</v>
      </c>
      <c r="Y760" s="3" t="s">
        <v>86</v>
      </c>
      <c r="Z760" s="3" t="s">
        <v>23</v>
      </c>
      <c r="AA760" s="3" t="s">
        <v>25</v>
      </c>
      <c r="AB760" s="3" t="str">
        <f>IF(crimenes_cordoba_ampliado[[#This Row],[Hubo Arresto]]="Sí", "Resuelto", "Pendiente")</f>
        <v>Pendiente</v>
      </c>
      <c r="AC760" s="3" t="s">
        <v>24</v>
      </c>
      <c r="AD760" s="3"/>
    </row>
    <row r="761" spans="1:30" x14ac:dyDescent="0.25">
      <c r="A761">
        <v>744</v>
      </c>
      <c r="B761" s="1">
        <v>44793</v>
      </c>
      <c r="C761" s="33">
        <f t="shared" si="22"/>
        <v>44793</v>
      </c>
      <c r="D761" s="34">
        <f t="shared" si="23"/>
        <v>44793</v>
      </c>
      <c r="E761" s="35" t="s">
        <v>1451</v>
      </c>
      <c r="F761" s="2">
        <v>0.46111111111111114</v>
      </c>
      <c r="G761" s="3" t="s">
        <v>54</v>
      </c>
      <c r="H761" s="3" t="s">
        <v>52</v>
      </c>
      <c r="I761" s="25" t="str">
        <f>VLOOKUP(H761,Tabla5[#All],4,FALSE)</f>
        <v>-31,3477902896523, -64,2644406169297</v>
      </c>
      <c r="J761" s="1">
        <v>30582</v>
      </c>
      <c r="K761" s="7">
        <f>INT((crimenes_cordoba_ampliado[[#This Row],[Fecha]]-crimenes_cordoba_ampliado[[#This Row],[Fecha Nac. Delincuente]])/365)</f>
        <v>38</v>
      </c>
      <c r="L761" s="7" t="str">
        <f>_xlfn.XLOOKUP(crimenes_cordoba_ampliado[[#This Row],[EDAD DELINCUENTE]],'Rango etareo'!$A$10:$A$25,'Rango etareo'!$B$10:$B$25,,-1)</f>
        <v>36 - 45</v>
      </c>
      <c r="M761" s="3" t="s">
        <v>22</v>
      </c>
      <c r="N761" s="3" t="str">
        <f>IF(crimenes_cordoba_ampliado[[#This Row],[Género Delincuente]]="Femenino","🚺","🚹")</f>
        <v>🚹</v>
      </c>
      <c r="O761">
        <v>5</v>
      </c>
      <c r="P761" s="1">
        <v>41051</v>
      </c>
      <c r="Q761" s="7">
        <f>INT((crimenes_cordoba_ampliado[[#This Row],[Fecha]]-crimenes_cordoba_ampliado[[#This Row],[Fecha Nac. Víctima]])/365)</f>
        <v>10</v>
      </c>
      <c r="R761" s="7" t="str">
        <f>_xlfn.XLOOKUP(crimenes_cordoba_ampliado[[#This Row],[EDAD VICTIMA]],'Rango etareo'!$A$2:$A$25,'Rango etareo'!$B$2:$B$25,,-1)</f>
        <v>&lt;=17</v>
      </c>
      <c r="S761" s="3" t="s">
        <v>21</v>
      </c>
      <c r="T761" s="3" t="str">
        <f>IF(crimenes_cordoba_ampliado[[#This Row],[Género Víctima]]="Masculino","🚹","🚺")</f>
        <v>🚺</v>
      </c>
      <c r="U761">
        <v>1</v>
      </c>
      <c r="V761" s="3" t="s">
        <v>23</v>
      </c>
      <c r="W761" s="3" t="s">
        <v>24</v>
      </c>
      <c r="X761" s="3" t="s">
        <v>24</v>
      </c>
      <c r="Y761" s="3" t="s">
        <v>56</v>
      </c>
      <c r="Z761" s="3" t="s">
        <v>23</v>
      </c>
      <c r="AA761" s="3" t="s">
        <v>23</v>
      </c>
      <c r="AB761" s="3" t="str">
        <f>IF(crimenes_cordoba_ampliado[[#This Row],[Hubo Arresto]]="Sí", "Resuelto", "Pendiente")</f>
        <v>Resuelto</v>
      </c>
      <c r="AC761" s="3" t="s">
        <v>134</v>
      </c>
      <c r="AD761" s="3"/>
    </row>
    <row r="762" spans="1:30" x14ac:dyDescent="0.25">
      <c r="A762">
        <v>748</v>
      </c>
      <c r="B762" s="1">
        <v>43967</v>
      </c>
      <c r="C762" s="33">
        <f t="shared" si="22"/>
        <v>43967</v>
      </c>
      <c r="D762" s="34">
        <f t="shared" si="23"/>
        <v>43967</v>
      </c>
      <c r="E762" s="35" t="s">
        <v>1451</v>
      </c>
      <c r="F762" s="2">
        <v>0.57291666666666663</v>
      </c>
      <c r="G762" s="3" t="s">
        <v>38</v>
      </c>
      <c r="H762" s="3" t="s">
        <v>28</v>
      </c>
      <c r="I762" s="25" t="str">
        <f>VLOOKUP(H762,Tabla5[#All],4,FALSE)</f>
        <v>-31,4129883640337, -64,1681120522587</v>
      </c>
      <c r="J762" s="1">
        <v>22570</v>
      </c>
      <c r="K762" s="7">
        <f>INT((crimenes_cordoba_ampliado[[#This Row],[Fecha]]-crimenes_cordoba_ampliado[[#This Row],[Fecha Nac. Delincuente]])/365)</f>
        <v>58</v>
      </c>
      <c r="L762" s="7" t="str">
        <f>_xlfn.XLOOKUP(crimenes_cordoba_ampliado[[#This Row],[EDAD DELINCUENTE]],'Rango etareo'!$A$10:$A$25,'Rango etareo'!$B$10:$B$25,,-1)</f>
        <v>56 - 65</v>
      </c>
      <c r="M762" s="3" t="s">
        <v>22</v>
      </c>
      <c r="N762" s="3" t="str">
        <f>IF(crimenes_cordoba_ampliado[[#This Row],[Género Delincuente]]="Femenino","🚺","🚹")</f>
        <v>🚹</v>
      </c>
      <c r="O762">
        <v>1</v>
      </c>
      <c r="P762" s="1">
        <v>31566</v>
      </c>
      <c r="Q762" s="7">
        <f>INT((crimenes_cordoba_ampliado[[#This Row],[Fecha]]-crimenes_cordoba_ampliado[[#This Row],[Fecha Nac. Víctima]])/365)</f>
        <v>33</v>
      </c>
      <c r="R762" s="7" t="str">
        <f>_xlfn.XLOOKUP(crimenes_cordoba_ampliado[[#This Row],[EDAD VICTIMA]],'Rango etareo'!$A$2:$A$25,'Rango etareo'!$B$2:$B$25,,-1)</f>
        <v>26 - 35</v>
      </c>
      <c r="S762" s="3" t="s">
        <v>21</v>
      </c>
      <c r="T762" s="3" t="str">
        <f>IF(crimenes_cordoba_ampliado[[#This Row],[Género Víctima]]="Masculino","🚹","🚺")</f>
        <v>🚺</v>
      </c>
      <c r="U762">
        <v>3</v>
      </c>
      <c r="V762" s="3" t="s">
        <v>23</v>
      </c>
      <c r="W762" s="3" t="s">
        <v>24</v>
      </c>
      <c r="X762" s="3" t="s">
        <v>24</v>
      </c>
      <c r="Y762" s="3" t="s">
        <v>39</v>
      </c>
      <c r="Z762" s="3" t="s">
        <v>25</v>
      </c>
      <c r="AA762" s="3" t="s">
        <v>25</v>
      </c>
      <c r="AB762" s="3" t="str">
        <f>IF(crimenes_cordoba_ampliado[[#This Row],[Hubo Arresto]]="Sí", "Resuelto", "Pendiente")</f>
        <v>Resuelto</v>
      </c>
      <c r="AC762" s="3" t="s">
        <v>84</v>
      </c>
      <c r="AD762" s="3"/>
    </row>
    <row r="763" spans="1:30" x14ac:dyDescent="0.25">
      <c r="A763">
        <v>917</v>
      </c>
      <c r="B763" s="1">
        <v>44879</v>
      </c>
      <c r="C763" s="33">
        <f t="shared" si="22"/>
        <v>44879</v>
      </c>
      <c r="D763" s="34">
        <f t="shared" si="23"/>
        <v>44879</v>
      </c>
      <c r="E763" s="35" t="s">
        <v>1452</v>
      </c>
      <c r="F763" s="2">
        <v>0.86041666666666672</v>
      </c>
      <c r="G763" s="3" t="s">
        <v>42</v>
      </c>
      <c r="H763" s="3" t="s">
        <v>62</v>
      </c>
      <c r="I763" s="25" t="str">
        <f>VLOOKUP(H763,Tabla5[#All],4,FALSE)</f>
        <v>-31,3909520937826, -64,1836424491715</v>
      </c>
      <c r="J763" s="1">
        <v>28480</v>
      </c>
      <c r="K763" s="7">
        <f>INT((crimenes_cordoba_ampliado[[#This Row],[Fecha]]-crimenes_cordoba_ampliado[[#This Row],[Fecha Nac. Delincuente]])/365)</f>
        <v>44</v>
      </c>
      <c r="L763" s="7" t="str">
        <f>_xlfn.XLOOKUP(crimenes_cordoba_ampliado[[#This Row],[EDAD DELINCUENTE]],'Rango etareo'!$A$10:$A$25,'Rango etareo'!$B$10:$B$25,,-1)</f>
        <v>36 - 45</v>
      </c>
      <c r="M763" s="3" t="s">
        <v>22</v>
      </c>
      <c r="N763" s="3" t="str">
        <f>IF(crimenes_cordoba_ampliado[[#This Row],[Género Delincuente]]="Femenino","🚺","🚹")</f>
        <v>🚹</v>
      </c>
      <c r="O763">
        <v>4</v>
      </c>
      <c r="P763" s="1">
        <v>22227</v>
      </c>
      <c r="Q763" s="7">
        <f>INT((crimenes_cordoba_ampliado[[#This Row],[Fecha]]-crimenes_cordoba_ampliado[[#This Row],[Fecha Nac. Víctima]])/365)</f>
        <v>62</v>
      </c>
      <c r="R763" s="7" t="str">
        <f>_xlfn.XLOOKUP(crimenes_cordoba_ampliado[[#This Row],[EDAD VICTIMA]],'Rango etareo'!$A$2:$A$25,'Rango etareo'!$B$2:$B$25,,-1)</f>
        <v>56 - 65</v>
      </c>
      <c r="S763" s="3" t="s">
        <v>22</v>
      </c>
      <c r="T763" s="3" t="str">
        <f>IF(crimenes_cordoba_ampliado[[#This Row],[Género Víctima]]="Masculino","🚹","🚺")</f>
        <v>🚹</v>
      </c>
      <c r="U763">
        <v>1</v>
      </c>
      <c r="V763" s="3" t="s">
        <v>25</v>
      </c>
      <c r="W763" s="3" t="s">
        <v>63</v>
      </c>
      <c r="X763" s="3" t="s">
        <v>50</v>
      </c>
      <c r="Y763" s="3" t="s">
        <v>24</v>
      </c>
      <c r="Z763" s="3" t="s">
        <v>25</v>
      </c>
      <c r="AA763" s="3" t="s">
        <v>25</v>
      </c>
      <c r="AB763" s="3" t="str">
        <f>IF(crimenes_cordoba_ampliado[[#This Row],[Hubo Arresto]]="Sí", "Resuelto", "Pendiente")</f>
        <v>Pendiente</v>
      </c>
      <c r="AC763" s="3" t="s">
        <v>24</v>
      </c>
      <c r="AD763" s="3"/>
    </row>
    <row r="764" spans="1:30" x14ac:dyDescent="0.25">
      <c r="A764">
        <v>41</v>
      </c>
      <c r="B764" s="1">
        <v>44880</v>
      </c>
      <c r="C764" s="33">
        <f t="shared" si="22"/>
        <v>44880</v>
      </c>
      <c r="D764" s="34">
        <f t="shared" si="23"/>
        <v>44880</v>
      </c>
      <c r="E764" s="35" t="s">
        <v>1453</v>
      </c>
      <c r="F764" s="2">
        <v>0.93888888888888888</v>
      </c>
      <c r="G764" s="3" t="s">
        <v>27</v>
      </c>
      <c r="H764" s="3" t="s">
        <v>49</v>
      </c>
      <c r="I764" s="25" t="str">
        <f>VLOOKUP(H764,Tabla5[#All],4,FALSE)</f>
        <v>-31,4506257494184, -64,1733054344705</v>
      </c>
      <c r="J764" s="1">
        <v>38202</v>
      </c>
      <c r="K764" s="7">
        <f>INT((crimenes_cordoba_ampliado[[#This Row],[Fecha]]-crimenes_cordoba_ampliado[[#This Row],[Fecha Nac. Delincuente]])/365)</f>
        <v>18</v>
      </c>
      <c r="L764" s="7" t="str">
        <f>_xlfn.XLOOKUP(crimenes_cordoba_ampliado[[#This Row],[EDAD DELINCUENTE]],'Rango etareo'!$A$10:$A$25,'Rango etareo'!$B$10:$B$25,,-1)</f>
        <v>18 - 25</v>
      </c>
      <c r="M764" s="3" t="s">
        <v>21</v>
      </c>
      <c r="N764" s="3" t="str">
        <f>IF(crimenes_cordoba_ampliado[[#This Row],[Género Delincuente]]="Femenino","🚺","🚹")</f>
        <v>🚺</v>
      </c>
      <c r="O764">
        <v>3</v>
      </c>
      <c r="P764" s="1">
        <v>41821</v>
      </c>
      <c r="Q764" s="7">
        <f>INT((crimenes_cordoba_ampliado[[#This Row],[Fecha]]-crimenes_cordoba_ampliado[[#This Row],[Fecha Nac. Víctima]])/365)</f>
        <v>8</v>
      </c>
      <c r="R764" s="7" t="str">
        <f>_xlfn.XLOOKUP(crimenes_cordoba_ampliado[[#This Row],[EDAD VICTIMA]],'Rango etareo'!$A$2:$A$25,'Rango etareo'!$B$2:$B$25,,-1)</f>
        <v>&lt;=17</v>
      </c>
      <c r="S764" s="3" t="s">
        <v>22</v>
      </c>
      <c r="T764" s="3" t="str">
        <f>IF(crimenes_cordoba_ampliado[[#This Row],[Género Víctima]]="Masculino","🚹","🚺")</f>
        <v>🚹</v>
      </c>
      <c r="U764">
        <v>3</v>
      </c>
      <c r="V764" s="3" t="s">
        <v>25</v>
      </c>
      <c r="W764" s="3" t="s">
        <v>63</v>
      </c>
      <c r="X764" s="3" t="s">
        <v>50</v>
      </c>
      <c r="Y764" s="3" t="s">
        <v>24</v>
      </c>
      <c r="Z764" s="3" t="s">
        <v>25</v>
      </c>
      <c r="AA764" s="3" t="s">
        <v>25</v>
      </c>
      <c r="AB764" s="3" t="str">
        <f>IF(crimenes_cordoba_ampliado[[#This Row],[Hubo Arresto]]="Sí", "Resuelto", "Pendiente")</f>
        <v>Pendiente</v>
      </c>
      <c r="AC764" s="3" t="s">
        <v>24</v>
      </c>
      <c r="AD764" s="3"/>
    </row>
    <row r="765" spans="1:30" x14ac:dyDescent="0.25">
      <c r="A765">
        <v>750</v>
      </c>
      <c r="B765" s="1">
        <v>42833</v>
      </c>
      <c r="C765" s="33">
        <f t="shared" si="22"/>
        <v>42833</v>
      </c>
      <c r="D765" s="34">
        <f t="shared" si="23"/>
        <v>42833</v>
      </c>
      <c r="E765" s="35" t="s">
        <v>1451</v>
      </c>
      <c r="F765" s="2">
        <v>0.55555555555555558</v>
      </c>
      <c r="G765" s="3" t="s">
        <v>31</v>
      </c>
      <c r="H765" s="3" t="s">
        <v>20</v>
      </c>
      <c r="I765" s="25" t="str">
        <f>VLOOKUP(H765,Tabla5[#All],4,FALSE)</f>
        <v>-31,4800162965848, -64,2094200976892</v>
      </c>
      <c r="J765" s="1">
        <v>28302</v>
      </c>
      <c r="K765" s="7">
        <f>INT((crimenes_cordoba_ampliado[[#This Row],[Fecha]]-crimenes_cordoba_ampliado[[#This Row],[Fecha Nac. Delincuente]])/365)</f>
        <v>39</v>
      </c>
      <c r="L765" s="7" t="str">
        <f>_xlfn.XLOOKUP(crimenes_cordoba_ampliado[[#This Row],[EDAD DELINCUENTE]],'Rango etareo'!$A$10:$A$25,'Rango etareo'!$B$10:$B$25,,-1)</f>
        <v>36 - 45</v>
      </c>
      <c r="M765" s="3" t="s">
        <v>21</v>
      </c>
      <c r="N765" s="3" t="str">
        <f>IF(crimenes_cordoba_ampliado[[#This Row],[Género Delincuente]]="Femenino","🚺","🚹")</f>
        <v>🚺</v>
      </c>
      <c r="O765">
        <v>4</v>
      </c>
      <c r="P765" s="1">
        <v>25868</v>
      </c>
      <c r="Q765" s="7">
        <f>INT((crimenes_cordoba_ampliado[[#This Row],[Fecha]]-crimenes_cordoba_ampliado[[#This Row],[Fecha Nac. Víctima]])/365)</f>
        <v>46</v>
      </c>
      <c r="R765" s="7" t="str">
        <f>_xlfn.XLOOKUP(crimenes_cordoba_ampliado[[#This Row],[EDAD VICTIMA]],'Rango etareo'!$A$2:$A$25,'Rango etareo'!$B$2:$B$25,,-1)</f>
        <v>46 - 55</v>
      </c>
      <c r="S765" s="3" t="s">
        <v>21</v>
      </c>
      <c r="T765" s="3" t="str">
        <f>IF(crimenes_cordoba_ampliado[[#This Row],[Género Víctima]]="Masculino","🚹","🚺")</f>
        <v>🚺</v>
      </c>
      <c r="U765">
        <v>2</v>
      </c>
      <c r="V765" s="3" t="s">
        <v>23</v>
      </c>
      <c r="W765" s="3" t="s">
        <v>24</v>
      </c>
      <c r="X765" s="3" t="s">
        <v>24</v>
      </c>
      <c r="Y765" s="3" t="s">
        <v>56</v>
      </c>
      <c r="Z765" s="3" t="s">
        <v>23</v>
      </c>
      <c r="AA765" s="3" t="s">
        <v>23</v>
      </c>
      <c r="AB765" s="3" t="str">
        <f>IF(crimenes_cordoba_ampliado[[#This Row],[Hubo Arresto]]="Sí", "Resuelto", "Pendiente")</f>
        <v>Resuelto</v>
      </c>
      <c r="AC765" s="3" t="s">
        <v>129</v>
      </c>
      <c r="AD765" s="3"/>
    </row>
    <row r="766" spans="1:30" x14ac:dyDescent="0.25">
      <c r="A766">
        <v>751</v>
      </c>
      <c r="B766" s="1">
        <v>44932</v>
      </c>
      <c r="C766" s="33">
        <f t="shared" si="22"/>
        <v>44932</v>
      </c>
      <c r="D766" s="34">
        <f t="shared" si="23"/>
        <v>44932</v>
      </c>
      <c r="E766" s="35" t="s">
        <v>1455</v>
      </c>
      <c r="F766" s="2">
        <v>0.52222222222222225</v>
      </c>
      <c r="G766" s="3" t="s">
        <v>35</v>
      </c>
      <c r="H766" s="3" t="s">
        <v>40</v>
      </c>
      <c r="I766" s="25" t="str">
        <f>VLOOKUP(H766,Tabla5[#All],4,FALSE)</f>
        <v>-31,334500143441, -64,2460773260564</v>
      </c>
      <c r="J766" s="1">
        <v>27989</v>
      </c>
      <c r="K766" s="7">
        <f>INT((crimenes_cordoba_ampliado[[#This Row],[Fecha]]-crimenes_cordoba_ampliado[[#This Row],[Fecha Nac. Delincuente]])/365)</f>
        <v>46</v>
      </c>
      <c r="L766" s="7" t="str">
        <f>_xlfn.XLOOKUP(crimenes_cordoba_ampliado[[#This Row],[EDAD DELINCUENTE]],'Rango etareo'!$A$10:$A$25,'Rango etareo'!$B$10:$B$25,,-1)</f>
        <v>46 - 55</v>
      </c>
      <c r="M766" s="3" t="s">
        <v>21</v>
      </c>
      <c r="N766" s="3" t="str">
        <f>IF(crimenes_cordoba_ampliado[[#This Row],[Género Delincuente]]="Femenino","🚺","🚹")</f>
        <v>🚺</v>
      </c>
      <c r="O766">
        <v>2</v>
      </c>
      <c r="P766" s="1">
        <v>18275</v>
      </c>
      <c r="Q766" s="7">
        <f>INT((crimenes_cordoba_ampliado[[#This Row],[Fecha]]-crimenes_cordoba_ampliado[[#This Row],[Fecha Nac. Víctima]])/365)</f>
        <v>73</v>
      </c>
      <c r="R766" s="7" t="str">
        <f>_xlfn.XLOOKUP(crimenes_cordoba_ampliado[[#This Row],[EDAD VICTIMA]],'Rango etareo'!$A$2:$A$25,'Rango etareo'!$B$2:$B$25,,-1)</f>
        <v>&gt;65</v>
      </c>
      <c r="S766" s="3" t="s">
        <v>22</v>
      </c>
      <c r="T766" s="3" t="str">
        <f>IF(crimenes_cordoba_ampliado[[#This Row],[Género Víctima]]="Masculino","🚹","🚺")</f>
        <v>🚹</v>
      </c>
      <c r="U766">
        <v>2</v>
      </c>
      <c r="V766" s="3" t="s">
        <v>23</v>
      </c>
      <c r="W766" s="3" t="s">
        <v>24</v>
      </c>
      <c r="X766" s="3" t="s">
        <v>24</v>
      </c>
      <c r="Y766" s="3" t="s">
        <v>56</v>
      </c>
      <c r="Z766" s="3" t="s">
        <v>25</v>
      </c>
      <c r="AA766" s="3" t="s">
        <v>25</v>
      </c>
      <c r="AB766" s="3" t="str">
        <f>IF(crimenes_cordoba_ampliado[[#This Row],[Hubo Arresto]]="Sí", "Resuelto", "Pendiente")</f>
        <v>Resuelto</v>
      </c>
      <c r="AC766" s="3" t="s">
        <v>91</v>
      </c>
      <c r="AD766" s="3"/>
    </row>
    <row r="767" spans="1:30" x14ac:dyDescent="0.25">
      <c r="A767">
        <v>756</v>
      </c>
      <c r="B767" s="1">
        <v>42996</v>
      </c>
      <c r="C767" s="33">
        <f t="shared" si="22"/>
        <v>42996</v>
      </c>
      <c r="D767" s="34">
        <f t="shared" si="23"/>
        <v>42996</v>
      </c>
      <c r="E767" s="35" t="s">
        <v>1452</v>
      </c>
      <c r="F767" s="2">
        <v>0.84791666666666665</v>
      </c>
      <c r="G767" s="3" t="s">
        <v>81</v>
      </c>
      <c r="H767" s="3" t="s">
        <v>62</v>
      </c>
      <c r="I767" s="25" t="str">
        <f>VLOOKUP(H767,Tabla5[#All],4,FALSE)</f>
        <v>-31,3909520937826, -64,1836424491715</v>
      </c>
      <c r="J767" s="1">
        <v>33550</v>
      </c>
      <c r="K767" s="7">
        <f>INT((crimenes_cordoba_ampliado[[#This Row],[Fecha]]-crimenes_cordoba_ampliado[[#This Row],[Fecha Nac. Delincuente]])/365)</f>
        <v>25</v>
      </c>
      <c r="L767" s="7" t="str">
        <f>_xlfn.XLOOKUP(crimenes_cordoba_ampliado[[#This Row],[EDAD DELINCUENTE]],'Rango etareo'!$A$10:$A$25,'Rango etareo'!$B$10:$B$25,,-1)</f>
        <v>18 - 25</v>
      </c>
      <c r="M767" s="3" t="s">
        <v>22</v>
      </c>
      <c r="N767" s="3" t="str">
        <f>IF(crimenes_cordoba_ampliado[[#This Row],[Género Delincuente]]="Femenino","🚺","🚹")</f>
        <v>🚹</v>
      </c>
      <c r="O767">
        <v>1</v>
      </c>
      <c r="P767" s="1">
        <v>21432</v>
      </c>
      <c r="Q767" s="7">
        <f>INT((crimenes_cordoba_ampliado[[#This Row],[Fecha]]-crimenes_cordoba_ampliado[[#This Row],[Fecha Nac. Víctima]])/365)</f>
        <v>59</v>
      </c>
      <c r="R767" s="7" t="str">
        <f>_xlfn.XLOOKUP(crimenes_cordoba_ampliado[[#This Row],[EDAD VICTIMA]],'Rango etareo'!$A$2:$A$25,'Rango etareo'!$B$2:$B$25,,-1)</f>
        <v>56 - 65</v>
      </c>
      <c r="S767" s="3" t="s">
        <v>22</v>
      </c>
      <c r="T767" s="3" t="str">
        <f>IF(crimenes_cordoba_ampliado[[#This Row],[Género Víctima]]="Masculino","🚹","🚺")</f>
        <v>🚹</v>
      </c>
      <c r="U767">
        <v>3</v>
      </c>
      <c r="V767" s="3" t="s">
        <v>23</v>
      </c>
      <c r="W767" s="3" t="s">
        <v>36</v>
      </c>
      <c r="X767" s="3" t="s">
        <v>24</v>
      </c>
      <c r="Y767" s="3" t="s">
        <v>64</v>
      </c>
      <c r="Z767" s="3" t="s">
        <v>25</v>
      </c>
      <c r="AA767" s="3" t="s">
        <v>25</v>
      </c>
      <c r="AB767" s="3" t="str">
        <f>IF(crimenes_cordoba_ampliado[[#This Row],[Hubo Arresto]]="Sí", "Resuelto", "Pendiente")</f>
        <v>Resuelto</v>
      </c>
      <c r="AC767" s="3" t="s">
        <v>155</v>
      </c>
      <c r="AD767" s="3"/>
    </row>
    <row r="768" spans="1:30" x14ac:dyDescent="0.25">
      <c r="A768">
        <v>494</v>
      </c>
      <c r="B768" s="1">
        <v>44895</v>
      </c>
      <c r="C768" s="33">
        <f t="shared" si="22"/>
        <v>44895</v>
      </c>
      <c r="D768" s="34">
        <f t="shared" si="23"/>
        <v>44895</v>
      </c>
      <c r="E768" s="35" t="s">
        <v>1450</v>
      </c>
      <c r="F768" s="2">
        <v>0.66041666666666665</v>
      </c>
      <c r="G768" s="3" t="s">
        <v>48</v>
      </c>
      <c r="H768" s="3" t="s">
        <v>70</v>
      </c>
      <c r="I768" s="25" t="str">
        <f>VLOOKUP(H768,Tabla5[#All],4,FALSE)</f>
        <v>-31,3759272890294, -64,2284587792478</v>
      </c>
      <c r="J768" s="1">
        <v>30181</v>
      </c>
      <c r="K768" s="7">
        <f>INT((crimenes_cordoba_ampliado[[#This Row],[Fecha]]-crimenes_cordoba_ampliado[[#This Row],[Fecha Nac. Delincuente]])/365)</f>
        <v>40</v>
      </c>
      <c r="L768" s="7" t="str">
        <f>_xlfn.XLOOKUP(crimenes_cordoba_ampliado[[#This Row],[EDAD DELINCUENTE]],'Rango etareo'!$A$10:$A$25,'Rango etareo'!$B$10:$B$25,,-1)</f>
        <v>36 - 45</v>
      </c>
      <c r="M768" s="3" t="s">
        <v>22</v>
      </c>
      <c r="N768" s="3" t="str">
        <f>IF(crimenes_cordoba_ampliado[[#This Row],[Género Delincuente]]="Femenino","🚺","🚹")</f>
        <v>🚹</v>
      </c>
      <c r="O768">
        <v>1</v>
      </c>
      <c r="P768" s="1">
        <v>18328</v>
      </c>
      <c r="Q768" s="7">
        <f>INT((crimenes_cordoba_ampliado[[#This Row],[Fecha]]-crimenes_cordoba_ampliado[[#This Row],[Fecha Nac. Víctima]])/365)</f>
        <v>72</v>
      </c>
      <c r="R768" s="7" t="str">
        <f>_xlfn.XLOOKUP(crimenes_cordoba_ampliado[[#This Row],[EDAD VICTIMA]],'Rango etareo'!$A$2:$A$25,'Rango etareo'!$B$2:$B$25,,-1)</f>
        <v>&gt;65</v>
      </c>
      <c r="S768" s="3" t="s">
        <v>21</v>
      </c>
      <c r="T768" s="3" t="str">
        <f>IF(crimenes_cordoba_ampliado[[#This Row],[Género Víctima]]="Masculino","🚹","🚺")</f>
        <v>🚺</v>
      </c>
      <c r="U768">
        <v>2</v>
      </c>
      <c r="V768" s="3" t="s">
        <v>25</v>
      </c>
      <c r="W768" s="3" t="s">
        <v>24</v>
      </c>
      <c r="X768" s="3" t="s">
        <v>24</v>
      </c>
      <c r="Y768" s="3" t="s">
        <v>53</v>
      </c>
      <c r="Z768" s="3" t="s">
        <v>25</v>
      </c>
      <c r="AA768" s="3" t="s">
        <v>25</v>
      </c>
      <c r="AB768" s="3" t="str">
        <f>IF(crimenes_cordoba_ampliado[[#This Row],[Hubo Arresto]]="Sí", "Resuelto", "Pendiente")</f>
        <v>Pendiente</v>
      </c>
      <c r="AC768" s="3" t="s">
        <v>24</v>
      </c>
      <c r="AD768" s="3"/>
    </row>
    <row r="769" spans="1:30" x14ac:dyDescent="0.25">
      <c r="A769">
        <v>497</v>
      </c>
      <c r="B769" s="1">
        <v>44896</v>
      </c>
      <c r="C769" s="33">
        <f t="shared" si="22"/>
        <v>44896</v>
      </c>
      <c r="D769" s="34">
        <f t="shared" si="23"/>
        <v>44896</v>
      </c>
      <c r="E769" s="35" t="s">
        <v>1454</v>
      </c>
      <c r="F769" s="2">
        <v>0.56736111111111109</v>
      </c>
      <c r="G769" s="3" t="s">
        <v>31</v>
      </c>
      <c r="H769" s="3" t="s">
        <v>20</v>
      </c>
      <c r="I769" s="25" t="str">
        <f>VLOOKUP(H769,Tabla5[#All],4,FALSE)</f>
        <v>-31,4800162965848, -64,2094200976892</v>
      </c>
      <c r="J769" s="1">
        <v>21909</v>
      </c>
      <c r="K769" s="7">
        <f>INT((crimenes_cordoba_ampliado[[#This Row],[Fecha]]-crimenes_cordoba_ampliado[[#This Row],[Fecha Nac. Delincuente]])/365)</f>
        <v>62</v>
      </c>
      <c r="L769" s="7" t="str">
        <f>_xlfn.XLOOKUP(crimenes_cordoba_ampliado[[#This Row],[EDAD DELINCUENTE]],'Rango etareo'!$A$10:$A$25,'Rango etareo'!$B$10:$B$25,,-1)</f>
        <v>56 - 65</v>
      </c>
      <c r="M769" s="3" t="s">
        <v>22</v>
      </c>
      <c r="N769" s="3" t="str">
        <f>IF(crimenes_cordoba_ampliado[[#This Row],[Género Delincuente]]="Femenino","🚺","🚹")</f>
        <v>🚹</v>
      </c>
      <c r="O769">
        <v>5</v>
      </c>
      <c r="P769" s="1">
        <v>23931</v>
      </c>
      <c r="Q769" s="7">
        <f>INT((crimenes_cordoba_ampliado[[#This Row],[Fecha]]-crimenes_cordoba_ampliado[[#This Row],[Fecha Nac. Víctima]])/365)</f>
        <v>57</v>
      </c>
      <c r="R769" s="7" t="str">
        <f>_xlfn.XLOOKUP(crimenes_cordoba_ampliado[[#This Row],[EDAD VICTIMA]],'Rango etareo'!$A$2:$A$25,'Rango etareo'!$B$2:$B$25,,-1)</f>
        <v>56 - 65</v>
      </c>
      <c r="S769" s="3" t="s">
        <v>21</v>
      </c>
      <c r="T769" s="3" t="str">
        <f>IF(crimenes_cordoba_ampliado[[#This Row],[Género Víctima]]="Masculino","🚹","🚺")</f>
        <v>🚺</v>
      </c>
      <c r="U769">
        <v>3</v>
      </c>
      <c r="V769" s="3" t="s">
        <v>25</v>
      </c>
      <c r="W769" s="3" t="s">
        <v>24</v>
      </c>
      <c r="X769" s="3" t="s">
        <v>24</v>
      </c>
      <c r="Y769" s="3" t="s">
        <v>89</v>
      </c>
      <c r="Z769" s="3" t="s">
        <v>25</v>
      </c>
      <c r="AA769" s="3" t="s">
        <v>23</v>
      </c>
      <c r="AB769" s="3" t="str">
        <f>IF(crimenes_cordoba_ampliado[[#This Row],[Hubo Arresto]]="Sí", "Resuelto", "Pendiente")</f>
        <v>Pendiente</v>
      </c>
      <c r="AC769" s="3" t="s">
        <v>24</v>
      </c>
      <c r="AD769" s="3"/>
    </row>
    <row r="770" spans="1:30" x14ac:dyDescent="0.25">
      <c r="A770">
        <v>757</v>
      </c>
      <c r="B770" s="1">
        <v>43739</v>
      </c>
      <c r="C770" s="33">
        <f t="shared" ref="C770:C833" si="24">B:B</f>
        <v>43739</v>
      </c>
      <c r="D770" s="34">
        <f t="shared" ref="D770:D833" si="25">B:B</f>
        <v>43739</v>
      </c>
      <c r="E770" s="35" t="s">
        <v>1453</v>
      </c>
      <c r="F770" s="2">
        <v>0.44097222222222221</v>
      </c>
      <c r="G770" s="3" t="s">
        <v>38</v>
      </c>
      <c r="H770" s="3" t="s">
        <v>20</v>
      </c>
      <c r="I770" s="25" t="str">
        <f>VLOOKUP(H770,Tabla5[#All],4,FALSE)</f>
        <v>-31,4800162965848, -64,2094200976892</v>
      </c>
      <c r="J770" s="1">
        <v>36892</v>
      </c>
      <c r="K770" s="7">
        <f>INT((crimenes_cordoba_ampliado[[#This Row],[Fecha]]-crimenes_cordoba_ampliado[[#This Row],[Fecha Nac. Delincuente]])/365)</f>
        <v>18</v>
      </c>
      <c r="L770" s="7" t="str">
        <f>_xlfn.XLOOKUP(crimenes_cordoba_ampliado[[#This Row],[EDAD DELINCUENTE]],'Rango etareo'!$A$10:$A$25,'Rango etareo'!$B$10:$B$25,,-1)</f>
        <v>18 - 25</v>
      </c>
      <c r="M770" s="3" t="s">
        <v>22</v>
      </c>
      <c r="N770" s="3" t="str">
        <f>IF(crimenes_cordoba_ampliado[[#This Row],[Género Delincuente]]="Femenino","🚺","🚹")</f>
        <v>🚹</v>
      </c>
      <c r="O770">
        <v>2</v>
      </c>
      <c r="P770" s="1">
        <v>37773</v>
      </c>
      <c r="Q770" s="7">
        <f>INT((crimenes_cordoba_ampliado[[#This Row],[Fecha]]-crimenes_cordoba_ampliado[[#This Row],[Fecha Nac. Víctima]])/365)</f>
        <v>16</v>
      </c>
      <c r="R770" s="7" t="str">
        <f>_xlfn.XLOOKUP(crimenes_cordoba_ampliado[[#This Row],[EDAD VICTIMA]],'Rango etareo'!$A$2:$A$25,'Rango etareo'!$B$2:$B$25,,-1)</f>
        <v>&lt;=17</v>
      </c>
      <c r="S770" s="3" t="s">
        <v>22</v>
      </c>
      <c r="T770" s="3" t="str">
        <f>IF(crimenes_cordoba_ampliado[[#This Row],[Género Víctima]]="Masculino","🚹","🚺")</f>
        <v>🚹</v>
      </c>
      <c r="U770">
        <v>3</v>
      </c>
      <c r="V770" s="3" t="s">
        <v>23</v>
      </c>
      <c r="W770" s="3" t="s">
        <v>24</v>
      </c>
      <c r="X770" s="3" t="s">
        <v>24</v>
      </c>
      <c r="Y770" s="3" t="s">
        <v>69</v>
      </c>
      <c r="Z770" s="3" t="s">
        <v>25</v>
      </c>
      <c r="AA770" s="3" t="s">
        <v>25</v>
      </c>
      <c r="AB770" s="3" t="str">
        <f>IF(crimenes_cordoba_ampliado[[#This Row],[Hubo Arresto]]="Sí", "Resuelto", "Pendiente")</f>
        <v>Resuelto</v>
      </c>
      <c r="AC770" s="3" t="s">
        <v>298</v>
      </c>
      <c r="AD770" s="3"/>
    </row>
    <row r="771" spans="1:30" x14ac:dyDescent="0.25">
      <c r="A771">
        <v>348</v>
      </c>
      <c r="B771" s="1">
        <v>44898</v>
      </c>
      <c r="C771" s="33">
        <f t="shared" si="24"/>
        <v>44898</v>
      </c>
      <c r="D771" s="34">
        <f t="shared" si="25"/>
        <v>44898</v>
      </c>
      <c r="E771" s="35" t="s">
        <v>1451</v>
      </c>
      <c r="F771" s="2">
        <v>0.14444444444444443</v>
      </c>
      <c r="G771" s="3" t="s">
        <v>81</v>
      </c>
      <c r="H771" s="3" t="s">
        <v>49</v>
      </c>
      <c r="I771" s="25" t="str">
        <f>VLOOKUP(H771,Tabla5[#All],4,FALSE)</f>
        <v>-31,4506257494184, -64,1733054344705</v>
      </c>
      <c r="J771" s="1">
        <v>34633</v>
      </c>
      <c r="K771" s="7">
        <f>INT((crimenes_cordoba_ampliado[[#This Row],[Fecha]]-crimenes_cordoba_ampliado[[#This Row],[Fecha Nac. Delincuente]])/365)</f>
        <v>28</v>
      </c>
      <c r="L771" s="7" t="str">
        <f>_xlfn.XLOOKUP(crimenes_cordoba_ampliado[[#This Row],[EDAD DELINCUENTE]],'Rango etareo'!$A$10:$A$25,'Rango etareo'!$B$10:$B$25,,-1)</f>
        <v>26 - 35</v>
      </c>
      <c r="M771" s="3" t="s">
        <v>21</v>
      </c>
      <c r="N771" s="3" t="str">
        <f>IF(crimenes_cordoba_ampliado[[#This Row],[Género Delincuente]]="Femenino","🚺","🚹")</f>
        <v>🚺</v>
      </c>
      <c r="O771">
        <v>2</v>
      </c>
      <c r="P771" s="1">
        <v>41051</v>
      </c>
      <c r="Q771" s="7">
        <f>INT((crimenes_cordoba_ampliado[[#This Row],[Fecha]]-crimenes_cordoba_ampliado[[#This Row],[Fecha Nac. Víctima]])/365)</f>
        <v>10</v>
      </c>
      <c r="R771" s="7" t="str">
        <f>_xlfn.XLOOKUP(crimenes_cordoba_ampliado[[#This Row],[EDAD VICTIMA]],'Rango etareo'!$A$2:$A$25,'Rango etareo'!$B$2:$B$25,,-1)</f>
        <v>&lt;=17</v>
      </c>
      <c r="S771" s="3" t="s">
        <v>21</v>
      </c>
      <c r="T771" s="3" t="str">
        <f>IF(crimenes_cordoba_ampliado[[#This Row],[Género Víctima]]="Masculino","🚹","🚺")</f>
        <v>🚺</v>
      </c>
      <c r="U771">
        <v>1</v>
      </c>
      <c r="V771" s="3" t="s">
        <v>25</v>
      </c>
      <c r="W771" s="3" t="s">
        <v>24</v>
      </c>
      <c r="X771" s="3" t="s">
        <v>29</v>
      </c>
      <c r="Y771" s="3" t="s">
        <v>24</v>
      </c>
      <c r="Z771" s="3" t="s">
        <v>25</v>
      </c>
      <c r="AA771" s="3" t="s">
        <v>25</v>
      </c>
      <c r="AB771" s="3" t="str">
        <f>IF(crimenes_cordoba_ampliado[[#This Row],[Hubo Arresto]]="Sí", "Resuelto", "Pendiente")</f>
        <v>Pendiente</v>
      </c>
      <c r="AC771" s="3" t="s">
        <v>24</v>
      </c>
      <c r="AD771" s="3"/>
    </row>
    <row r="772" spans="1:30" x14ac:dyDescent="0.25">
      <c r="A772">
        <v>360</v>
      </c>
      <c r="B772" s="1">
        <v>44918</v>
      </c>
      <c r="C772" s="33">
        <f t="shared" si="24"/>
        <v>44918</v>
      </c>
      <c r="D772" s="34">
        <f t="shared" si="25"/>
        <v>44918</v>
      </c>
      <c r="E772" s="35" t="s">
        <v>1455</v>
      </c>
      <c r="F772" s="2">
        <v>0.61388888888888893</v>
      </c>
      <c r="G772" s="3" t="s">
        <v>27</v>
      </c>
      <c r="H772" s="3" t="s">
        <v>70</v>
      </c>
      <c r="I772" s="25" t="str">
        <f>VLOOKUP(H772,Tabla5[#All],4,FALSE)</f>
        <v>-31,3759272890294, -64,2284587792478</v>
      </c>
      <c r="J772" s="1">
        <v>18435</v>
      </c>
      <c r="K772" s="7">
        <f>INT((crimenes_cordoba_ampliado[[#This Row],[Fecha]]-crimenes_cordoba_ampliado[[#This Row],[Fecha Nac. Delincuente]])/365)</f>
        <v>72</v>
      </c>
      <c r="L772" s="7" t="str">
        <f>_xlfn.XLOOKUP(crimenes_cordoba_ampliado[[#This Row],[EDAD DELINCUENTE]],'Rango etareo'!$A$10:$A$25,'Rango etareo'!$B$10:$B$25,,-1)</f>
        <v>&gt;65</v>
      </c>
      <c r="M772" s="3" t="s">
        <v>21</v>
      </c>
      <c r="N772" s="3" t="str">
        <f>IF(crimenes_cordoba_ampliado[[#This Row],[Género Delincuente]]="Femenino","🚺","🚹")</f>
        <v>🚺</v>
      </c>
      <c r="O772">
        <v>1</v>
      </c>
      <c r="P772" s="1">
        <v>39367</v>
      </c>
      <c r="Q772" s="7">
        <f>INT((crimenes_cordoba_ampliado[[#This Row],[Fecha]]-crimenes_cordoba_ampliado[[#This Row],[Fecha Nac. Víctima]])/365)</f>
        <v>15</v>
      </c>
      <c r="R772" s="7" t="str">
        <f>_xlfn.XLOOKUP(crimenes_cordoba_ampliado[[#This Row],[EDAD VICTIMA]],'Rango etareo'!$A$2:$A$25,'Rango etareo'!$B$2:$B$25,,-1)</f>
        <v>&lt;=17</v>
      </c>
      <c r="S772" s="3" t="s">
        <v>22</v>
      </c>
      <c r="T772" s="3" t="str">
        <f>IF(crimenes_cordoba_ampliado[[#This Row],[Género Víctima]]="Masculino","🚹","🚺")</f>
        <v>🚹</v>
      </c>
      <c r="U772">
        <v>2</v>
      </c>
      <c r="V772" s="3" t="s">
        <v>25</v>
      </c>
      <c r="W772" s="3" t="s">
        <v>24</v>
      </c>
      <c r="X772" s="3" t="s">
        <v>24</v>
      </c>
      <c r="Y772" s="3" t="s">
        <v>56</v>
      </c>
      <c r="Z772" s="3" t="s">
        <v>25</v>
      </c>
      <c r="AA772" s="3" t="s">
        <v>25</v>
      </c>
      <c r="AB772" s="3" t="str">
        <f>IF(crimenes_cordoba_ampliado[[#This Row],[Hubo Arresto]]="Sí", "Resuelto", "Pendiente")</f>
        <v>Pendiente</v>
      </c>
      <c r="AC772" s="3" t="s">
        <v>24</v>
      </c>
      <c r="AD772" s="3"/>
    </row>
    <row r="773" spans="1:30" x14ac:dyDescent="0.25">
      <c r="A773">
        <v>758</v>
      </c>
      <c r="B773" s="1">
        <v>44547</v>
      </c>
      <c r="C773" s="33">
        <f t="shared" si="24"/>
        <v>44547</v>
      </c>
      <c r="D773" s="34">
        <f t="shared" si="25"/>
        <v>44547</v>
      </c>
      <c r="E773" s="35" t="s">
        <v>1455</v>
      </c>
      <c r="F773" s="2">
        <v>0.83611111111111114</v>
      </c>
      <c r="G773" s="3" t="s">
        <v>31</v>
      </c>
      <c r="H773" s="3" t="s">
        <v>20</v>
      </c>
      <c r="I773" s="25" t="str">
        <f>VLOOKUP(H773,Tabla5[#All],4,FALSE)</f>
        <v>-31,4800162965848, -64,2094200976892</v>
      </c>
      <c r="J773" s="1">
        <v>22802</v>
      </c>
      <c r="K773" s="7">
        <f>INT((crimenes_cordoba_ampliado[[#This Row],[Fecha]]-crimenes_cordoba_ampliado[[#This Row],[Fecha Nac. Delincuente]])/365)</f>
        <v>59</v>
      </c>
      <c r="L773" s="7" t="str">
        <f>_xlfn.XLOOKUP(crimenes_cordoba_ampliado[[#This Row],[EDAD DELINCUENTE]],'Rango etareo'!$A$10:$A$25,'Rango etareo'!$B$10:$B$25,,-1)</f>
        <v>56 - 65</v>
      </c>
      <c r="M773" s="3" t="s">
        <v>22</v>
      </c>
      <c r="N773" s="3" t="str">
        <f>IF(crimenes_cordoba_ampliado[[#This Row],[Género Delincuente]]="Femenino","🚺","🚹")</f>
        <v>🚹</v>
      </c>
      <c r="O773">
        <v>3</v>
      </c>
      <c r="P773" s="1">
        <v>15415</v>
      </c>
      <c r="Q773" s="7">
        <f>INT((crimenes_cordoba_ampliado[[#This Row],[Fecha]]-crimenes_cordoba_ampliado[[#This Row],[Fecha Nac. Víctima]])/365)</f>
        <v>79</v>
      </c>
      <c r="R773" s="7" t="str">
        <f>_xlfn.XLOOKUP(crimenes_cordoba_ampliado[[#This Row],[EDAD VICTIMA]],'Rango etareo'!$A$2:$A$25,'Rango etareo'!$B$2:$B$25,,-1)</f>
        <v>&gt;65</v>
      </c>
      <c r="S773" s="3" t="s">
        <v>22</v>
      </c>
      <c r="T773" s="3" t="str">
        <f>IF(crimenes_cordoba_ampliado[[#This Row],[Género Víctima]]="Masculino","🚹","🚺")</f>
        <v>🚹</v>
      </c>
      <c r="U773">
        <v>2</v>
      </c>
      <c r="V773" s="3" t="s">
        <v>23</v>
      </c>
      <c r="W773" s="3" t="s">
        <v>24</v>
      </c>
      <c r="X773" s="3" t="s">
        <v>24</v>
      </c>
      <c r="Y773" s="3" t="s">
        <v>98</v>
      </c>
      <c r="Z773" s="3" t="s">
        <v>23</v>
      </c>
      <c r="AA773" s="3" t="s">
        <v>25</v>
      </c>
      <c r="AB773" s="3" t="str">
        <f>IF(crimenes_cordoba_ampliado[[#This Row],[Hubo Arresto]]="Sí", "Resuelto", "Pendiente")</f>
        <v>Resuelto</v>
      </c>
      <c r="AC773" s="3" t="s">
        <v>138</v>
      </c>
      <c r="AD773" s="3"/>
    </row>
    <row r="774" spans="1:30" x14ac:dyDescent="0.25">
      <c r="A774">
        <v>759</v>
      </c>
      <c r="B774" s="1">
        <v>44431</v>
      </c>
      <c r="C774" s="33">
        <f t="shared" si="24"/>
        <v>44431</v>
      </c>
      <c r="D774" s="34">
        <f t="shared" si="25"/>
        <v>44431</v>
      </c>
      <c r="E774" s="35" t="s">
        <v>1452</v>
      </c>
      <c r="F774" s="2">
        <v>0.98819444444444449</v>
      </c>
      <c r="G774" s="3" t="s">
        <v>54</v>
      </c>
      <c r="H774" s="3" t="s">
        <v>62</v>
      </c>
      <c r="I774" s="25" t="str">
        <f>VLOOKUP(H774,Tabla5[#All],4,FALSE)</f>
        <v>-31,3909520937826, -64,1836424491715</v>
      </c>
      <c r="J774" s="1">
        <v>36864</v>
      </c>
      <c r="K774" s="7">
        <f>INT((crimenes_cordoba_ampliado[[#This Row],[Fecha]]-crimenes_cordoba_ampliado[[#This Row],[Fecha Nac. Delincuente]])/365)</f>
        <v>20</v>
      </c>
      <c r="L774" s="7" t="str">
        <f>_xlfn.XLOOKUP(crimenes_cordoba_ampliado[[#This Row],[EDAD DELINCUENTE]],'Rango etareo'!$A$10:$A$25,'Rango etareo'!$B$10:$B$25,,-1)</f>
        <v>18 - 25</v>
      </c>
      <c r="M774" s="3" t="s">
        <v>22</v>
      </c>
      <c r="N774" s="3" t="str">
        <f>IF(crimenes_cordoba_ampliado[[#This Row],[Género Delincuente]]="Femenino","🚺","🚹")</f>
        <v>🚹</v>
      </c>
      <c r="O774">
        <v>4</v>
      </c>
      <c r="P774" s="1">
        <v>16183</v>
      </c>
      <c r="Q774" s="7">
        <f>INT((crimenes_cordoba_ampliado[[#This Row],[Fecha]]-crimenes_cordoba_ampliado[[#This Row],[Fecha Nac. Víctima]])/365)</f>
        <v>77</v>
      </c>
      <c r="R774" s="7" t="str">
        <f>_xlfn.XLOOKUP(crimenes_cordoba_ampliado[[#This Row],[EDAD VICTIMA]],'Rango etareo'!$A$2:$A$25,'Rango etareo'!$B$2:$B$25,,-1)</f>
        <v>&gt;65</v>
      </c>
      <c r="S774" s="3" t="s">
        <v>22</v>
      </c>
      <c r="T774" s="3" t="str">
        <f>IF(crimenes_cordoba_ampliado[[#This Row],[Género Víctima]]="Masculino","🚹","🚺")</f>
        <v>🚹</v>
      </c>
      <c r="U774">
        <v>3</v>
      </c>
      <c r="V774" s="3" t="s">
        <v>23</v>
      </c>
      <c r="W774" s="3" t="s">
        <v>71</v>
      </c>
      <c r="X774" s="3" t="s">
        <v>67</v>
      </c>
      <c r="Y774" s="3" t="s">
        <v>24</v>
      </c>
      <c r="Z774" s="3" t="s">
        <v>25</v>
      </c>
      <c r="AA774" s="3" t="s">
        <v>23</v>
      </c>
      <c r="AB774" s="3" t="str">
        <f>IF(crimenes_cordoba_ampliado[[#This Row],[Hubo Arresto]]="Sí", "Resuelto", "Pendiente")</f>
        <v>Resuelto</v>
      </c>
      <c r="AC774" s="3" t="s">
        <v>299</v>
      </c>
      <c r="AD774" s="3"/>
    </row>
    <row r="775" spans="1:30" x14ac:dyDescent="0.25">
      <c r="A775">
        <v>761</v>
      </c>
      <c r="B775" s="1">
        <v>45516</v>
      </c>
      <c r="C775" s="33">
        <f t="shared" si="24"/>
        <v>45516</v>
      </c>
      <c r="D775" s="34">
        <f t="shared" si="25"/>
        <v>45516</v>
      </c>
      <c r="E775" s="35" t="s">
        <v>1452</v>
      </c>
      <c r="F775" s="2">
        <v>0.43541666666666667</v>
      </c>
      <c r="G775" s="3" t="s">
        <v>45</v>
      </c>
      <c r="H775" s="3" t="s">
        <v>49</v>
      </c>
      <c r="I775" s="25" t="str">
        <f>VLOOKUP(H775,Tabla5[#All],4,FALSE)</f>
        <v>-31,4506257494184, -64,1733054344705</v>
      </c>
      <c r="J775" s="1">
        <v>35781</v>
      </c>
      <c r="K775" s="7">
        <f>INT((crimenes_cordoba_ampliado[[#This Row],[Fecha]]-crimenes_cordoba_ampliado[[#This Row],[Fecha Nac. Delincuente]])/365)</f>
        <v>26</v>
      </c>
      <c r="L775" s="7" t="str">
        <f>_xlfn.XLOOKUP(crimenes_cordoba_ampliado[[#This Row],[EDAD DELINCUENTE]],'Rango etareo'!$A$10:$A$25,'Rango etareo'!$B$10:$B$25,,-1)</f>
        <v>26 - 35</v>
      </c>
      <c r="M775" s="3" t="s">
        <v>22</v>
      </c>
      <c r="N775" s="3" t="str">
        <f>IF(crimenes_cordoba_ampliado[[#This Row],[Género Delincuente]]="Femenino","🚺","🚹")</f>
        <v>🚹</v>
      </c>
      <c r="O775">
        <v>3</v>
      </c>
      <c r="P775" s="1">
        <v>21964</v>
      </c>
      <c r="Q775" s="7">
        <f>INT((crimenes_cordoba_ampliado[[#This Row],[Fecha]]-crimenes_cordoba_ampliado[[#This Row],[Fecha Nac. Víctima]])/365)</f>
        <v>64</v>
      </c>
      <c r="R775" s="7" t="str">
        <f>_xlfn.XLOOKUP(crimenes_cordoba_ampliado[[#This Row],[EDAD VICTIMA]],'Rango etareo'!$A$2:$A$25,'Rango etareo'!$B$2:$B$25,,-1)</f>
        <v>56 - 65</v>
      </c>
      <c r="S775" s="3" t="s">
        <v>21</v>
      </c>
      <c r="T775" s="3" t="str">
        <f>IF(crimenes_cordoba_ampliado[[#This Row],[Género Víctima]]="Masculino","🚹","🚺")</f>
        <v>🚺</v>
      </c>
      <c r="U775">
        <v>1</v>
      </c>
      <c r="V775" s="3" t="s">
        <v>23</v>
      </c>
      <c r="W775" s="3" t="s">
        <v>24</v>
      </c>
      <c r="X775" s="3" t="s">
        <v>24</v>
      </c>
      <c r="Y775" s="3" t="s">
        <v>72</v>
      </c>
      <c r="Z775" s="3" t="s">
        <v>25</v>
      </c>
      <c r="AA775" s="3" t="s">
        <v>23</v>
      </c>
      <c r="AB775" s="3" t="str">
        <f>IF(crimenes_cordoba_ampliado[[#This Row],[Hubo Arresto]]="Sí", "Resuelto", "Pendiente")</f>
        <v>Resuelto</v>
      </c>
      <c r="AC775" s="3" t="s">
        <v>300</v>
      </c>
      <c r="AD775" s="3"/>
    </row>
    <row r="776" spans="1:30" x14ac:dyDescent="0.25">
      <c r="A776">
        <v>762</v>
      </c>
      <c r="B776" s="1">
        <v>44776</v>
      </c>
      <c r="C776" s="33">
        <f t="shared" si="24"/>
        <v>44776</v>
      </c>
      <c r="D776" s="34">
        <f t="shared" si="25"/>
        <v>44776</v>
      </c>
      <c r="E776" s="35" t="s">
        <v>1450</v>
      </c>
      <c r="F776" s="2">
        <v>0.76111111111111107</v>
      </c>
      <c r="G776" s="3" t="s">
        <v>51</v>
      </c>
      <c r="H776" s="3" t="s">
        <v>52</v>
      </c>
      <c r="I776" s="25" t="str">
        <f>VLOOKUP(H776,Tabla5[#All],4,FALSE)</f>
        <v>-31,3477902896523, -64,2644406169297</v>
      </c>
      <c r="J776" s="1">
        <v>20319</v>
      </c>
      <c r="K776" s="7">
        <f>INT((crimenes_cordoba_ampliado[[#This Row],[Fecha]]-crimenes_cordoba_ampliado[[#This Row],[Fecha Nac. Delincuente]])/365)</f>
        <v>67</v>
      </c>
      <c r="L776" s="7" t="str">
        <f>_xlfn.XLOOKUP(crimenes_cordoba_ampliado[[#This Row],[EDAD DELINCUENTE]],'Rango etareo'!$A$10:$A$25,'Rango etareo'!$B$10:$B$25,,-1)</f>
        <v>&gt;65</v>
      </c>
      <c r="M776" s="3" t="s">
        <v>21</v>
      </c>
      <c r="N776" s="3" t="str">
        <f>IF(crimenes_cordoba_ampliado[[#This Row],[Género Delincuente]]="Femenino","🚺","🚹")</f>
        <v>🚺</v>
      </c>
      <c r="O776">
        <v>5</v>
      </c>
      <c r="P776" s="1">
        <v>24821</v>
      </c>
      <c r="Q776" s="7">
        <f>INT((crimenes_cordoba_ampliado[[#This Row],[Fecha]]-crimenes_cordoba_ampliado[[#This Row],[Fecha Nac. Víctima]])/365)</f>
        <v>54</v>
      </c>
      <c r="R776" s="7" t="str">
        <f>_xlfn.XLOOKUP(crimenes_cordoba_ampliado[[#This Row],[EDAD VICTIMA]],'Rango etareo'!$A$2:$A$25,'Rango etareo'!$B$2:$B$25,,-1)</f>
        <v>46 - 55</v>
      </c>
      <c r="S776" s="3" t="s">
        <v>22</v>
      </c>
      <c r="T776" s="3" t="str">
        <f>IF(crimenes_cordoba_ampliado[[#This Row],[Género Víctima]]="Masculino","🚹","🚺")</f>
        <v>🚹</v>
      </c>
      <c r="U776">
        <v>2</v>
      </c>
      <c r="V776" s="3" t="s">
        <v>23</v>
      </c>
      <c r="W776" s="3" t="s">
        <v>24</v>
      </c>
      <c r="X776" s="3" t="s">
        <v>24</v>
      </c>
      <c r="Y776" s="3" t="s">
        <v>33</v>
      </c>
      <c r="Z776" s="3" t="s">
        <v>25</v>
      </c>
      <c r="AA776" s="3" t="s">
        <v>23</v>
      </c>
      <c r="AB776" s="3" t="str">
        <f>IF(crimenes_cordoba_ampliado[[#This Row],[Hubo Arresto]]="Sí", "Resuelto", "Pendiente")</f>
        <v>Resuelto</v>
      </c>
      <c r="AC776" s="3" t="s">
        <v>144</v>
      </c>
      <c r="AD776" s="3"/>
    </row>
    <row r="777" spans="1:30" x14ac:dyDescent="0.25">
      <c r="A777">
        <v>765</v>
      </c>
      <c r="B777" s="1">
        <v>42022</v>
      </c>
      <c r="C777" s="33">
        <f t="shared" si="24"/>
        <v>42022</v>
      </c>
      <c r="D777" s="34">
        <f t="shared" si="25"/>
        <v>42022</v>
      </c>
      <c r="E777" s="35" t="s">
        <v>1449</v>
      </c>
      <c r="F777" s="2">
        <v>0.81736111111111109</v>
      </c>
      <c r="G777" s="3" t="s">
        <v>51</v>
      </c>
      <c r="H777" s="3" t="s">
        <v>55</v>
      </c>
      <c r="I777" s="25" t="str">
        <f>VLOOKUP(H777,Tabla5[#All],4,FALSE)</f>
        <v>-31,4015892433235, -64,160442876477</v>
      </c>
      <c r="J777" s="1">
        <v>22073</v>
      </c>
      <c r="K777" s="7">
        <f>INT((crimenes_cordoba_ampliado[[#This Row],[Fecha]]-crimenes_cordoba_ampliado[[#This Row],[Fecha Nac. Delincuente]])/365)</f>
        <v>54</v>
      </c>
      <c r="L777" s="7" t="str">
        <f>_xlfn.XLOOKUP(crimenes_cordoba_ampliado[[#This Row],[EDAD DELINCUENTE]],'Rango etareo'!$A$10:$A$25,'Rango etareo'!$B$10:$B$25,,-1)</f>
        <v>46 - 55</v>
      </c>
      <c r="M777" s="3" t="s">
        <v>22</v>
      </c>
      <c r="N777" s="3" t="str">
        <f>IF(crimenes_cordoba_ampliado[[#This Row],[Género Delincuente]]="Femenino","🚺","🚹")</f>
        <v>🚹</v>
      </c>
      <c r="O777">
        <v>4</v>
      </c>
      <c r="P777" s="1">
        <v>17015</v>
      </c>
      <c r="Q777" s="7">
        <f>INT((crimenes_cordoba_ampliado[[#This Row],[Fecha]]-crimenes_cordoba_ampliado[[#This Row],[Fecha Nac. Víctima]])/365)</f>
        <v>68</v>
      </c>
      <c r="R777" s="7" t="str">
        <f>_xlfn.XLOOKUP(crimenes_cordoba_ampliado[[#This Row],[EDAD VICTIMA]],'Rango etareo'!$A$2:$A$25,'Rango etareo'!$B$2:$B$25,,-1)</f>
        <v>&gt;65</v>
      </c>
      <c r="S777" s="3" t="s">
        <v>22</v>
      </c>
      <c r="T777" s="3" t="str">
        <f>IF(crimenes_cordoba_ampliado[[#This Row],[Género Víctima]]="Masculino","🚹","🚺")</f>
        <v>🚹</v>
      </c>
      <c r="U777">
        <v>2</v>
      </c>
      <c r="V777" s="3" t="s">
        <v>23</v>
      </c>
      <c r="W777" s="3" t="s">
        <v>24</v>
      </c>
      <c r="X777" s="3" t="s">
        <v>24</v>
      </c>
      <c r="Y777" s="3" t="s">
        <v>24</v>
      </c>
      <c r="Z777" s="3" t="s">
        <v>25</v>
      </c>
      <c r="AA777" s="3" t="s">
        <v>25</v>
      </c>
      <c r="AB777" s="3" t="str">
        <f>IF(crimenes_cordoba_ampliado[[#This Row],[Hubo Arresto]]="Sí", "Resuelto", "Pendiente")</f>
        <v>Resuelto</v>
      </c>
      <c r="AC777" s="3" t="s">
        <v>282</v>
      </c>
      <c r="AD777" s="3"/>
    </row>
    <row r="778" spans="1:30" x14ac:dyDescent="0.25">
      <c r="A778">
        <v>767</v>
      </c>
      <c r="B778" s="1">
        <v>43618</v>
      </c>
      <c r="C778" s="33">
        <f t="shared" si="24"/>
        <v>43618</v>
      </c>
      <c r="D778" s="34">
        <f t="shared" si="25"/>
        <v>43618</v>
      </c>
      <c r="E778" s="35" t="s">
        <v>1449</v>
      </c>
      <c r="F778" s="2">
        <v>0.90555555555555556</v>
      </c>
      <c r="G778" s="3" t="s">
        <v>19</v>
      </c>
      <c r="H778" s="3" t="s">
        <v>40</v>
      </c>
      <c r="I778" s="25" t="str">
        <f>VLOOKUP(H778,Tabla5[#All],4,FALSE)</f>
        <v>-31,334500143441, -64,2460773260564</v>
      </c>
      <c r="J778" s="1">
        <v>29713</v>
      </c>
      <c r="K778" s="7">
        <f>INT((crimenes_cordoba_ampliado[[#This Row],[Fecha]]-crimenes_cordoba_ampliado[[#This Row],[Fecha Nac. Delincuente]])/365)</f>
        <v>38</v>
      </c>
      <c r="L778" s="7" t="str">
        <f>_xlfn.XLOOKUP(crimenes_cordoba_ampliado[[#This Row],[EDAD DELINCUENTE]],'Rango etareo'!$A$10:$A$25,'Rango etareo'!$B$10:$B$25,,-1)</f>
        <v>36 - 45</v>
      </c>
      <c r="M778" s="3" t="s">
        <v>21</v>
      </c>
      <c r="N778" s="3" t="str">
        <f>IF(crimenes_cordoba_ampliado[[#This Row],[Género Delincuente]]="Femenino","🚺","🚹")</f>
        <v>🚺</v>
      </c>
      <c r="O778">
        <v>4</v>
      </c>
      <c r="P778" s="1">
        <v>27942</v>
      </c>
      <c r="Q778" s="7">
        <f>INT((crimenes_cordoba_ampliado[[#This Row],[Fecha]]-crimenes_cordoba_ampliado[[#This Row],[Fecha Nac. Víctima]])/365)</f>
        <v>42</v>
      </c>
      <c r="R778" s="7" t="str">
        <f>_xlfn.XLOOKUP(crimenes_cordoba_ampliado[[#This Row],[EDAD VICTIMA]],'Rango etareo'!$A$2:$A$25,'Rango etareo'!$B$2:$B$25,,-1)</f>
        <v>36 - 45</v>
      </c>
      <c r="S778" s="3" t="s">
        <v>22</v>
      </c>
      <c r="T778" s="3" t="str">
        <f>IF(crimenes_cordoba_ampliado[[#This Row],[Género Víctima]]="Masculino","🚹","🚺")</f>
        <v>🚹</v>
      </c>
      <c r="U778">
        <v>2</v>
      </c>
      <c r="V778" s="3" t="s">
        <v>23</v>
      </c>
      <c r="W778" s="3" t="s">
        <v>63</v>
      </c>
      <c r="X778" s="3" t="s">
        <v>24</v>
      </c>
      <c r="Y778" s="3" t="s">
        <v>99</v>
      </c>
      <c r="Z778" s="3" t="s">
        <v>23</v>
      </c>
      <c r="AA778" s="3" t="s">
        <v>25</v>
      </c>
      <c r="AB778" s="3" t="str">
        <f>IF(crimenes_cordoba_ampliado[[#This Row],[Hubo Arresto]]="Sí", "Resuelto", "Pendiente")</f>
        <v>Resuelto</v>
      </c>
      <c r="AC778" s="3" t="s">
        <v>301</v>
      </c>
      <c r="AD778" s="3"/>
    </row>
    <row r="779" spans="1:30" x14ac:dyDescent="0.25">
      <c r="A779">
        <v>620</v>
      </c>
      <c r="B779" s="1">
        <v>44939</v>
      </c>
      <c r="C779" s="33">
        <f t="shared" si="24"/>
        <v>44939</v>
      </c>
      <c r="D779" s="34">
        <f t="shared" si="25"/>
        <v>44939</v>
      </c>
      <c r="E779" s="35" t="s">
        <v>1455</v>
      </c>
      <c r="F779" s="2">
        <v>0.99583333333333335</v>
      </c>
      <c r="G779" s="3" t="s">
        <v>45</v>
      </c>
      <c r="H779" s="3" t="s">
        <v>52</v>
      </c>
      <c r="I779" s="25" t="str">
        <f>VLOOKUP(H779,Tabla5[#All],4,FALSE)</f>
        <v>-31,3477902896523, -64,2644406169297</v>
      </c>
      <c r="J779" s="1">
        <v>18726</v>
      </c>
      <c r="K779" s="7">
        <f>INT((crimenes_cordoba_ampliado[[#This Row],[Fecha]]-crimenes_cordoba_ampliado[[#This Row],[Fecha Nac. Delincuente]])/365)</f>
        <v>71</v>
      </c>
      <c r="L779" s="7" t="str">
        <f>_xlfn.XLOOKUP(crimenes_cordoba_ampliado[[#This Row],[EDAD DELINCUENTE]],'Rango etareo'!$A$10:$A$25,'Rango etareo'!$B$10:$B$25,,-1)</f>
        <v>&gt;65</v>
      </c>
      <c r="M779" s="3" t="s">
        <v>22</v>
      </c>
      <c r="N779" s="3" t="str">
        <f>IF(crimenes_cordoba_ampliado[[#This Row],[Género Delincuente]]="Femenino","🚺","🚹")</f>
        <v>🚹</v>
      </c>
      <c r="O779">
        <v>2</v>
      </c>
      <c r="P779" s="1">
        <v>27653</v>
      </c>
      <c r="Q779" s="7">
        <f>INT((crimenes_cordoba_ampliado[[#This Row],[Fecha]]-crimenes_cordoba_ampliado[[#This Row],[Fecha Nac. Víctima]])/365)</f>
        <v>47</v>
      </c>
      <c r="R779" s="7" t="str">
        <f>_xlfn.XLOOKUP(crimenes_cordoba_ampliado[[#This Row],[EDAD VICTIMA]],'Rango etareo'!$A$2:$A$25,'Rango etareo'!$B$2:$B$25,,-1)</f>
        <v>46 - 55</v>
      </c>
      <c r="S779" s="3" t="s">
        <v>21</v>
      </c>
      <c r="T779" s="3" t="str">
        <f>IF(crimenes_cordoba_ampliado[[#This Row],[Género Víctima]]="Masculino","🚹","🚺")</f>
        <v>🚺</v>
      </c>
      <c r="U779">
        <v>1</v>
      </c>
      <c r="V779" s="3" t="s">
        <v>25</v>
      </c>
      <c r="W779" s="3" t="s">
        <v>36</v>
      </c>
      <c r="X779" s="3" t="s">
        <v>29</v>
      </c>
      <c r="Y779" s="3" t="s">
        <v>24</v>
      </c>
      <c r="Z779" s="3" t="s">
        <v>23</v>
      </c>
      <c r="AA779" s="3" t="s">
        <v>25</v>
      </c>
      <c r="AB779" s="3" t="str">
        <f>IF(crimenes_cordoba_ampliado[[#This Row],[Hubo Arresto]]="Sí", "Resuelto", "Pendiente")</f>
        <v>Pendiente</v>
      </c>
      <c r="AC779" s="3" t="s">
        <v>24</v>
      </c>
      <c r="AD779" s="3"/>
    </row>
    <row r="780" spans="1:30" x14ac:dyDescent="0.25">
      <c r="A780">
        <v>769</v>
      </c>
      <c r="B780" s="1">
        <v>42669</v>
      </c>
      <c r="C780" s="33">
        <f t="shared" si="24"/>
        <v>42669</v>
      </c>
      <c r="D780" s="34">
        <f t="shared" si="25"/>
        <v>42669</v>
      </c>
      <c r="E780" s="35" t="s">
        <v>1450</v>
      </c>
      <c r="F780" s="2">
        <v>0.51041666666666663</v>
      </c>
      <c r="G780" s="3" t="s">
        <v>51</v>
      </c>
      <c r="H780" s="3" t="s">
        <v>52</v>
      </c>
      <c r="I780" s="25" t="str">
        <f>VLOOKUP(H780,Tabla5[#All],4,FALSE)</f>
        <v>-31,3477902896523, -64,2644406169297</v>
      </c>
      <c r="J780" s="1">
        <v>34615</v>
      </c>
      <c r="K780" s="7">
        <f>INT((crimenes_cordoba_ampliado[[#This Row],[Fecha]]-crimenes_cordoba_ampliado[[#This Row],[Fecha Nac. Delincuente]])/365)</f>
        <v>22</v>
      </c>
      <c r="L780" s="7" t="str">
        <f>_xlfn.XLOOKUP(crimenes_cordoba_ampliado[[#This Row],[EDAD DELINCUENTE]],'Rango etareo'!$A$10:$A$25,'Rango etareo'!$B$10:$B$25,,-1)</f>
        <v>18 - 25</v>
      </c>
      <c r="M780" s="3" t="s">
        <v>21</v>
      </c>
      <c r="N780" s="3" t="str">
        <f>IF(crimenes_cordoba_ampliado[[#This Row],[Género Delincuente]]="Femenino","🚺","🚹")</f>
        <v>🚺</v>
      </c>
      <c r="O780">
        <v>1</v>
      </c>
      <c r="P780" s="1">
        <v>14612</v>
      </c>
      <c r="Q780" s="7">
        <f>INT((crimenes_cordoba_ampliado[[#This Row],[Fecha]]-crimenes_cordoba_ampliado[[#This Row],[Fecha Nac. Víctima]])/365)</f>
        <v>76</v>
      </c>
      <c r="R780" s="7" t="str">
        <f>_xlfn.XLOOKUP(crimenes_cordoba_ampliado[[#This Row],[EDAD VICTIMA]],'Rango etareo'!$A$2:$A$25,'Rango etareo'!$B$2:$B$25,,-1)</f>
        <v>&gt;65</v>
      </c>
      <c r="S780" s="3" t="s">
        <v>21</v>
      </c>
      <c r="T780" s="3" t="str">
        <f>IF(crimenes_cordoba_ampliado[[#This Row],[Género Víctima]]="Masculino","🚹","🚺")</f>
        <v>🚺</v>
      </c>
      <c r="U780">
        <v>3</v>
      </c>
      <c r="V780" s="3" t="s">
        <v>23</v>
      </c>
      <c r="W780" s="3" t="s">
        <v>24</v>
      </c>
      <c r="X780" s="3" t="s">
        <v>24</v>
      </c>
      <c r="Y780" s="3" t="s">
        <v>43</v>
      </c>
      <c r="Z780" s="3" t="s">
        <v>25</v>
      </c>
      <c r="AA780" s="3" t="s">
        <v>23</v>
      </c>
      <c r="AB780" s="3" t="str">
        <f>IF(crimenes_cordoba_ampliado[[#This Row],[Hubo Arresto]]="Sí", "Resuelto", "Pendiente")</f>
        <v>Resuelto</v>
      </c>
      <c r="AC780" s="3" t="s">
        <v>141</v>
      </c>
      <c r="AD780" s="3"/>
    </row>
    <row r="781" spans="1:30" x14ac:dyDescent="0.25">
      <c r="A781">
        <v>83</v>
      </c>
      <c r="B781" s="1">
        <v>44942</v>
      </c>
      <c r="C781" s="33">
        <f t="shared" si="24"/>
        <v>44942</v>
      </c>
      <c r="D781" s="34">
        <f t="shared" si="25"/>
        <v>44942</v>
      </c>
      <c r="E781" s="35" t="s">
        <v>1452</v>
      </c>
      <c r="F781" s="2">
        <v>0.39861111111111114</v>
      </c>
      <c r="G781" s="3" t="s">
        <v>27</v>
      </c>
      <c r="H781" s="3" t="s">
        <v>70</v>
      </c>
      <c r="I781" s="25" t="str">
        <f>VLOOKUP(H781,Tabla5[#All],4,FALSE)</f>
        <v>-31,3759272890294, -64,2284587792478</v>
      </c>
      <c r="J781" s="1">
        <v>23266</v>
      </c>
      <c r="K781" s="7">
        <f>INT((crimenes_cordoba_ampliado[[#This Row],[Fecha]]-crimenes_cordoba_ampliado[[#This Row],[Fecha Nac. Delincuente]])/365)</f>
        <v>59</v>
      </c>
      <c r="L781" s="7" t="str">
        <f>_xlfn.XLOOKUP(crimenes_cordoba_ampliado[[#This Row],[EDAD DELINCUENTE]],'Rango etareo'!$A$10:$A$25,'Rango etareo'!$B$10:$B$25,,-1)</f>
        <v>56 - 65</v>
      </c>
      <c r="M781" s="3" t="s">
        <v>22</v>
      </c>
      <c r="N781" s="3" t="str">
        <f>IF(crimenes_cordoba_ampliado[[#This Row],[Género Delincuente]]="Femenino","🚺","🚹")</f>
        <v>🚹</v>
      </c>
      <c r="O781">
        <v>2</v>
      </c>
      <c r="P781" s="1">
        <v>36476</v>
      </c>
      <c r="Q781" s="7">
        <f>INT((crimenes_cordoba_ampliado[[#This Row],[Fecha]]-crimenes_cordoba_ampliado[[#This Row],[Fecha Nac. Víctima]])/365)</f>
        <v>23</v>
      </c>
      <c r="R781" s="7" t="str">
        <f>_xlfn.XLOOKUP(crimenes_cordoba_ampliado[[#This Row],[EDAD VICTIMA]],'Rango etareo'!$A$2:$A$25,'Rango etareo'!$B$2:$B$25,,-1)</f>
        <v>18 - 25</v>
      </c>
      <c r="S781" s="3" t="s">
        <v>22</v>
      </c>
      <c r="T781" s="3" t="str">
        <f>IF(crimenes_cordoba_ampliado[[#This Row],[Género Víctima]]="Masculino","🚹","🚺")</f>
        <v>🚹</v>
      </c>
      <c r="U781">
        <v>1</v>
      </c>
      <c r="V781" s="3" t="s">
        <v>25</v>
      </c>
      <c r="W781" s="3" t="s">
        <v>24</v>
      </c>
      <c r="X781" s="3" t="s">
        <v>24</v>
      </c>
      <c r="Y781" s="3" t="s">
        <v>39</v>
      </c>
      <c r="Z781" s="3" t="s">
        <v>25</v>
      </c>
      <c r="AA781" s="3" t="s">
        <v>23</v>
      </c>
      <c r="AB781" s="3" t="str">
        <f>IF(crimenes_cordoba_ampliado[[#This Row],[Hubo Arresto]]="Sí", "Resuelto", "Pendiente")</f>
        <v>Pendiente</v>
      </c>
      <c r="AC781" s="3" t="s">
        <v>24</v>
      </c>
      <c r="AD781" s="3"/>
    </row>
    <row r="782" spans="1:30" x14ac:dyDescent="0.25">
      <c r="A782">
        <v>771</v>
      </c>
      <c r="B782" s="1">
        <v>42528</v>
      </c>
      <c r="C782" s="33">
        <f t="shared" si="24"/>
        <v>42528</v>
      </c>
      <c r="D782" s="34">
        <f t="shared" si="25"/>
        <v>42528</v>
      </c>
      <c r="E782" s="35" t="s">
        <v>1453</v>
      </c>
      <c r="F782" s="2">
        <v>0.99027777777777781</v>
      </c>
      <c r="G782" s="3" t="s">
        <v>79</v>
      </c>
      <c r="H782" s="3" t="s">
        <v>70</v>
      </c>
      <c r="I782" s="25" t="str">
        <f>VLOOKUP(H782,Tabla5[#All],4,FALSE)</f>
        <v>-31,3759272890294, -64,2284587792478</v>
      </c>
      <c r="J782" s="1">
        <v>38300</v>
      </c>
      <c r="K782" s="7">
        <f>INT((crimenes_cordoba_ampliado[[#This Row],[Fecha]]-crimenes_cordoba_ampliado[[#This Row],[Fecha Nac. Delincuente]])/365)</f>
        <v>11</v>
      </c>
      <c r="L782" s="7" t="str">
        <f>_xlfn.XLOOKUP(crimenes_cordoba_ampliado[[#This Row],[EDAD DELINCUENTE]],'Rango etareo'!$A$10:$A$25,'Rango etareo'!$B$10:$B$25,,-1)</f>
        <v>&lt;=17</v>
      </c>
      <c r="M782" s="3" t="s">
        <v>22</v>
      </c>
      <c r="N782" s="3" t="str">
        <f>IF(crimenes_cordoba_ampliado[[#This Row],[Género Delincuente]]="Femenino","🚺","🚹")</f>
        <v>🚹</v>
      </c>
      <c r="O782">
        <v>2</v>
      </c>
      <c r="P782" s="1">
        <v>30268</v>
      </c>
      <c r="Q782" s="7">
        <f>INT((crimenes_cordoba_ampliado[[#This Row],[Fecha]]-crimenes_cordoba_ampliado[[#This Row],[Fecha Nac. Víctima]])/365)</f>
        <v>33</v>
      </c>
      <c r="R782" s="7" t="str">
        <f>_xlfn.XLOOKUP(crimenes_cordoba_ampliado[[#This Row],[EDAD VICTIMA]],'Rango etareo'!$A$2:$A$25,'Rango etareo'!$B$2:$B$25,,-1)</f>
        <v>26 - 35</v>
      </c>
      <c r="S782" s="3" t="s">
        <v>22</v>
      </c>
      <c r="T782" s="3" t="str">
        <f>IF(crimenes_cordoba_ampliado[[#This Row],[Género Víctima]]="Masculino","🚹","🚺")</f>
        <v>🚹</v>
      </c>
      <c r="U782">
        <v>1</v>
      </c>
      <c r="V782" s="3" t="s">
        <v>23</v>
      </c>
      <c r="W782" s="3" t="s">
        <v>24</v>
      </c>
      <c r="X782" s="3" t="s">
        <v>24</v>
      </c>
      <c r="Y782" s="3" t="s">
        <v>80</v>
      </c>
      <c r="Z782" s="3" t="s">
        <v>23</v>
      </c>
      <c r="AA782" s="3" t="s">
        <v>23</v>
      </c>
      <c r="AB782" s="3" t="str">
        <f>IF(crimenes_cordoba_ampliado[[#This Row],[Hubo Arresto]]="Sí", "Resuelto", "Pendiente")</f>
        <v>Resuelto</v>
      </c>
      <c r="AC782" s="3" t="s">
        <v>302</v>
      </c>
      <c r="AD782" s="3"/>
    </row>
    <row r="783" spans="1:30" x14ac:dyDescent="0.25">
      <c r="A783">
        <v>967</v>
      </c>
      <c r="B783" s="1">
        <v>44945</v>
      </c>
      <c r="C783" s="33">
        <f t="shared" si="24"/>
        <v>44945</v>
      </c>
      <c r="D783" s="34">
        <f t="shared" si="25"/>
        <v>44945</v>
      </c>
      <c r="E783" s="35" t="s">
        <v>1454</v>
      </c>
      <c r="F783" s="2">
        <v>0.27847222222222223</v>
      </c>
      <c r="G783" s="3" t="s">
        <v>19</v>
      </c>
      <c r="H783" s="3" t="s">
        <v>55</v>
      </c>
      <c r="I783" s="25" t="str">
        <f>VLOOKUP(H783,Tabla5[#All],4,FALSE)</f>
        <v>-31,4015892433235, -64,160442876477</v>
      </c>
      <c r="J783" s="1">
        <v>19597</v>
      </c>
      <c r="K783" s="7">
        <f>INT((crimenes_cordoba_ampliado[[#This Row],[Fecha]]-crimenes_cordoba_ampliado[[#This Row],[Fecha Nac. Delincuente]])/365)</f>
        <v>69</v>
      </c>
      <c r="L783" s="7" t="str">
        <f>_xlfn.XLOOKUP(crimenes_cordoba_ampliado[[#This Row],[EDAD DELINCUENTE]],'Rango etareo'!$A$10:$A$25,'Rango etareo'!$B$10:$B$25,,-1)</f>
        <v>&gt;65</v>
      </c>
      <c r="M783" s="3" t="s">
        <v>22</v>
      </c>
      <c r="N783" s="3" t="str">
        <f>IF(crimenes_cordoba_ampliado[[#This Row],[Género Delincuente]]="Femenino","🚺","🚹")</f>
        <v>🚹</v>
      </c>
      <c r="O783">
        <v>3</v>
      </c>
      <c r="P783" s="1">
        <v>29956</v>
      </c>
      <c r="Q783" s="7">
        <f>INT((crimenes_cordoba_ampliado[[#This Row],[Fecha]]-crimenes_cordoba_ampliado[[#This Row],[Fecha Nac. Víctima]])/365)</f>
        <v>41</v>
      </c>
      <c r="R783" s="7" t="str">
        <f>_xlfn.XLOOKUP(crimenes_cordoba_ampliado[[#This Row],[EDAD VICTIMA]],'Rango etareo'!$A$2:$A$25,'Rango etareo'!$B$2:$B$25,,-1)</f>
        <v>36 - 45</v>
      </c>
      <c r="S783" s="3" t="s">
        <v>22</v>
      </c>
      <c r="T783" s="3" t="str">
        <f>IF(crimenes_cordoba_ampliado[[#This Row],[Género Víctima]]="Masculino","🚹","🚺")</f>
        <v>🚹</v>
      </c>
      <c r="U783">
        <v>2</v>
      </c>
      <c r="V783" s="3" t="s">
        <v>25</v>
      </c>
      <c r="W783" s="3" t="s">
        <v>24</v>
      </c>
      <c r="X783" s="3" t="s">
        <v>24</v>
      </c>
      <c r="Y783" s="3" t="s">
        <v>53</v>
      </c>
      <c r="Z783" s="3" t="s">
        <v>25</v>
      </c>
      <c r="AA783" s="3" t="s">
        <v>25</v>
      </c>
      <c r="AB783" s="3" t="str">
        <f>IF(crimenes_cordoba_ampliado[[#This Row],[Hubo Arresto]]="Sí", "Resuelto", "Pendiente")</f>
        <v>Pendiente</v>
      </c>
      <c r="AC783" s="3" t="s">
        <v>24</v>
      </c>
      <c r="AD783" s="3"/>
    </row>
    <row r="784" spans="1:30" x14ac:dyDescent="0.25">
      <c r="A784">
        <v>122</v>
      </c>
      <c r="B784" s="1">
        <v>44950</v>
      </c>
      <c r="C784" s="33">
        <f t="shared" si="24"/>
        <v>44950</v>
      </c>
      <c r="D784" s="34">
        <f t="shared" si="25"/>
        <v>44950</v>
      </c>
      <c r="E784" s="35" t="s">
        <v>1453</v>
      </c>
      <c r="F784" s="2">
        <v>0.66388888888888886</v>
      </c>
      <c r="G784" s="3" t="s">
        <v>79</v>
      </c>
      <c r="H784" s="3" t="s">
        <v>65</v>
      </c>
      <c r="I784" s="25" t="str">
        <f>VLOOKUP(H784,Tabla5[#All],4,FALSE)</f>
        <v>-31,4285567311661, -64,1853198281007</v>
      </c>
      <c r="J784" s="1">
        <v>26081</v>
      </c>
      <c r="K784" s="7">
        <f>INT((crimenes_cordoba_ampliado[[#This Row],[Fecha]]-crimenes_cordoba_ampliado[[#This Row],[Fecha Nac. Delincuente]])/365)</f>
        <v>51</v>
      </c>
      <c r="L784" s="7" t="str">
        <f>_xlfn.XLOOKUP(crimenes_cordoba_ampliado[[#This Row],[EDAD DELINCUENTE]],'Rango etareo'!$A$10:$A$25,'Rango etareo'!$B$10:$B$25,,-1)</f>
        <v>46 - 55</v>
      </c>
      <c r="M784" s="3" t="s">
        <v>21</v>
      </c>
      <c r="N784" s="3" t="str">
        <f>IF(crimenes_cordoba_ampliado[[#This Row],[Género Delincuente]]="Femenino","🚺","🚹")</f>
        <v>🚺</v>
      </c>
      <c r="O784">
        <v>1</v>
      </c>
      <c r="P784" s="1">
        <v>23758</v>
      </c>
      <c r="Q784" s="7">
        <f>INT((crimenes_cordoba_ampliado[[#This Row],[Fecha]]-crimenes_cordoba_ampliado[[#This Row],[Fecha Nac. Víctima]])/365)</f>
        <v>58</v>
      </c>
      <c r="R784" s="7" t="str">
        <f>_xlfn.XLOOKUP(crimenes_cordoba_ampliado[[#This Row],[EDAD VICTIMA]],'Rango etareo'!$A$2:$A$25,'Rango etareo'!$B$2:$B$25,,-1)</f>
        <v>56 - 65</v>
      </c>
      <c r="S784" s="3" t="s">
        <v>21</v>
      </c>
      <c r="T784" s="3" t="str">
        <f>IF(crimenes_cordoba_ampliado[[#This Row],[Género Víctima]]="Masculino","🚹","🚺")</f>
        <v>🚺</v>
      </c>
      <c r="U784">
        <v>1</v>
      </c>
      <c r="V784" s="3" t="s">
        <v>25</v>
      </c>
      <c r="W784" s="3" t="s">
        <v>24</v>
      </c>
      <c r="X784" s="3" t="s">
        <v>50</v>
      </c>
      <c r="Y784" s="3" t="s">
        <v>24</v>
      </c>
      <c r="Z784" s="3" t="s">
        <v>23</v>
      </c>
      <c r="AA784" s="3" t="s">
        <v>25</v>
      </c>
      <c r="AB784" s="3" t="str">
        <f>IF(crimenes_cordoba_ampliado[[#This Row],[Hubo Arresto]]="Sí", "Resuelto", "Pendiente")</f>
        <v>Pendiente</v>
      </c>
      <c r="AC784" s="3" t="s">
        <v>24</v>
      </c>
      <c r="AD784" s="3"/>
    </row>
    <row r="785" spans="1:30" x14ac:dyDescent="0.25">
      <c r="A785">
        <v>777</v>
      </c>
      <c r="B785" s="1">
        <v>44553</v>
      </c>
      <c r="C785" s="33">
        <f t="shared" si="24"/>
        <v>44553</v>
      </c>
      <c r="D785" s="34">
        <f t="shared" si="25"/>
        <v>44553</v>
      </c>
      <c r="E785" s="35" t="s">
        <v>1454</v>
      </c>
      <c r="F785" s="2">
        <v>0.38611111111111113</v>
      </c>
      <c r="G785" s="3" t="s">
        <v>19</v>
      </c>
      <c r="H785" s="3" t="s">
        <v>40</v>
      </c>
      <c r="I785" s="25" t="str">
        <f>VLOOKUP(H785,Tabla5[#All],4,FALSE)</f>
        <v>-31,334500143441, -64,2460773260564</v>
      </c>
      <c r="J785" s="1">
        <v>34655</v>
      </c>
      <c r="K785" s="7">
        <f>INT((crimenes_cordoba_ampliado[[#This Row],[Fecha]]-crimenes_cordoba_ampliado[[#This Row],[Fecha Nac. Delincuente]])/365)</f>
        <v>27</v>
      </c>
      <c r="L785" s="7" t="str">
        <f>_xlfn.XLOOKUP(crimenes_cordoba_ampliado[[#This Row],[EDAD DELINCUENTE]],'Rango etareo'!$A$10:$A$25,'Rango etareo'!$B$10:$B$25,,-1)</f>
        <v>26 - 35</v>
      </c>
      <c r="M785" s="3" t="s">
        <v>22</v>
      </c>
      <c r="N785" s="3" t="str">
        <f>IF(crimenes_cordoba_ampliado[[#This Row],[Género Delincuente]]="Femenino","🚺","🚹")</f>
        <v>🚹</v>
      </c>
      <c r="O785">
        <v>2</v>
      </c>
      <c r="P785" s="1">
        <v>33975</v>
      </c>
      <c r="Q785" s="7">
        <f>INT((crimenes_cordoba_ampliado[[#This Row],[Fecha]]-crimenes_cordoba_ampliado[[#This Row],[Fecha Nac. Víctima]])/365)</f>
        <v>28</v>
      </c>
      <c r="R785" s="7" t="str">
        <f>_xlfn.XLOOKUP(crimenes_cordoba_ampliado[[#This Row],[EDAD VICTIMA]],'Rango etareo'!$A$2:$A$25,'Rango etareo'!$B$2:$B$25,,-1)</f>
        <v>26 - 35</v>
      </c>
      <c r="S785" s="3" t="s">
        <v>22</v>
      </c>
      <c r="T785" s="3" t="str">
        <f>IF(crimenes_cordoba_ampliado[[#This Row],[Género Víctima]]="Masculino","🚹","🚺")</f>
        <v>🚹</v>
      </c>
      <c r="U785">
        <v>3</v>
      </c>
      <c r="V785" s="3" t="s">
        <v>23</v>
      </c>
      <c r="W785" s="3" t="s">
        <v>24</v>
      </c>
      <c r="X785" s="3" t="s">
        <v>24</v>
      </c>
      <c r="Y785" s="3" t="s">
        <v>72</v>
      </c>
      <c r="Z785" s="3" t="s">
        <v>23</v>
      </c>
      <c r="AA785" s="3" t="s">
        <v>25</v>
      </c>
      <c r="AB785" s="3" t="str">
        <f>IF(crimenes_cordoba_ampliado[[#This Row],[Hubo Arresto]]="Sí", "Resuelto", "Pendiente")</f>
        <v>Resuelto</v>
      </c>
      <c r="AC785" s="3" t="s">
        <v>244</v>
      </c>
      <c r="AD785" s="3"/>
    </row>
    <row r="786" spans="1:30" x14ac:dyDescent="0.25">
      <c r="A786">
        <v>714</v>
      </c>
      <c r="B786" s="1">
        <v>44954</v>
      </c>
      <c r="C786" s="33">
        <f t="shared" si="24"/>
        <v>44954</v>
      </c>
      <c r="D786" s="34">
        <f t="shared" si="25"/>
        <v>44954</v>
      </c>
      <c r="E786" s="35" t="s">
        <v>1451</v>
      </c>
      <c r="F786" s="2">
        <v>0.88680555555555551</v>
      </c>
      <c r="G786" s="3" t="s">
        <v>38</v>
      </c>
      <c r="H786" s="3" t="s">
        <v>62</v>
      </c>
      <c r="I786" s="25" t="str">
        <f>VLOOKUP(H786,Tabla5[#All],4,FALSE)</f>
        <v>-31,3909520937826, -64,1836424491715</v>
      </c>
      <c r="J786" s="1">
        <v>37365</v>
      </c>
      <c r="K786" s="7">
        <f>INT((crimenes_cordoba_ampliado[[#This Row],[Fecha]]-crimenes_cordoba_ampliado[[#This Row],[Fecha Nac. Delincuente]])/365)</f>
        <v>20</v>
      </c>
      <c r="L786" s="7" t="str">
        <f>_xlfn.XLOOKUP(crimenes_cordoba_ampliado[[#This Row],[EDAD DELINCUENTE]],'Rango etareo'!$A$10:$A$25,'Rango etareo'!$B$10:$B$25,,-1)</f>
        <v>18 - 25</v>
      </c>
      <c r="M786" s="3" t="s">
        <v>22</v>
      </c>
      <c r="N786" s="3" t="str">
        <f>IF(crimenes_cordoba_ampliado[[#This Row],[Género Delincuente]]="Femenino","🚺","🚹")</f>
        <v>🚹</v>
      </c>
      <c r="O786">
        <v>3</v>
      </c>
      <c r="P786" s="1">
        <v>24813</v>
      </c>
      <c r="Q786" s="7">
        <f>INT((crimenes_cordoba_ampliado[[#This Row],[Fecha]]-crimenes_cordoba_ampliado[[#This Row],[Fecha Nac. Víctima]])/365)</f>
        <v>55</v>
      </c>
      <c r="R786" s="7" t="str">
        <f>_xlfn.XLOOKUP(crimenes_cordoba_ampliado[[#This Row],[EDAD VICTIMA]],'Rango etareo'!$A$2:$A$25,'Rango etareo'!$B$2:$B$25,,-1)</f>
        <v>46 - 55</v>
      </c>
      <c r="S786" s="3" t="s">
        <v>21</v>
      </c>
      <c r="T786" s="3" t="str">
        <f>IF(crimenes_cordoba_ampliado[[#This Row],[Género Víctima]]="Masculino","🚹","🚺")</f>
        <v>🚺</v>
      </c>
      <c r="U786">
        <v>3</v>
      </c>
      <c r="V786" s="3" t="s">
        <v>25</v>
      </c>
      <c r="W786" s="3" t="s">
        <v>24</v>
      </c>
      <c r="X786" s="3" t="s">
        <v>24</v>
      </c>
      <c r="Y786" s="3" t="s">
        <v>113</v>
      </c>
      <c r="Z786" s="3" t="s">
        <v>25</v>
      </c>
      <c r="AA786" s="3" t="s">
        <v>25</v>
      </c>
      <c r="AB786" s="3" t="str">
        <f>IF(crimenes_cordoba_ampliado[[#This Row],[Hubo Arresto]]="Sí", "Resuelto", "Pendiente")</f>
        <v>Pendiente</v>
      </c>
      <c r="AC786" s="3" t="s">
        <v>24</v>
      </c>
      <c r="AD786" s="3"/>
    </row>
    <row r="787" spans="1:30" x14ac:dyDescent="0.25">
      <c r="A787">
        <v>778</v>
      </c>
      <c r="B787" s="1">
        <v>44803</v>
      </c>
      <c r="C787" s="33">
        <f t="shared" si="24"/>
        <v>44803</v>
      </c>
      <c r="D787" s="34">
        <f t="shared" si="25"/>
        <v>44803</v>
      </c>
      <c r="E787" s="35" t="s">
        <v>1453</v>
      </c>
      <c r="F787" s="2">
        <v>0.92291666666666672</v>
      </c>
      <c r="G787" s="3" t="s">
        <v>81</v>
      </c>
      <c r="H787" s="3" t="s">
        <v>40</v>
      </c>
      <c r="I787" s="25" t="str">
        <f>VLOOKUP(H787,Tabla5[#All],4,FALSE)</f>
        <v>-31,334500143441, -64,2460773260564</v>
      </c>
      <c r="J787" s="1">
        <v>31941</v>
      </c>
      <c r="K787" s="7">
        <f>INT((crimenes_cordoba_ampliado[[#This Row],[Fecha]]-crimenes_cordoba_ampliado[[#This Row],[Fecha Nac. Delincuente]])/365)</f>
        <v>35</v>
      </c>
      <c r="L787" s="7" t="str">
        <f>_xlfn.XLOOKUP(crimenes_cordoba_ampliado[[#This Row],[EDAD DELINCUENTE]],'Rango etareo'!$A$10:$A$25,'Rango etareo'!$B$10:$B$25,,-1)</f>
        <v>26 - 35</v>
      </c>
      <c r="M787" s="3" t="s">
        <v>22</v>
      </c>
      <c r="N787" s="3" t="str">
        <f>IF(crimenes_cordoba_ampliado[[#This Row],[Género Delincuente]]="Femenino","🚺","🚹")</f>
        <v>🚹</v>
      </c>
      <c r="O787">
        <v>2</v>
      </c>
      <c r="P787" s="1">
        <v>35279</v>
      </c>
      <c r="Q787" s="7">
        <f>INT((crimenes_cordoba_ampliado[[#This Row],[Fecha]]-crimenes_cordoba_ampliado[[#This Row],[Fecha Nac. Víctima]])/365)</f>
        <v>26</v>
      </c>
      <c r="R787" s="7" t="str">
        <f>_xlfn.XLOOKUP(crimenes_cordoba_ampliado[[#This Row],[EDAD VICTIMA]],'Rango etareo'!$A$2:$A$25,'Rango etareo'!$B$2:$B$25,,-1)</f>
        <v>26 - 35</v>
      </c>
      <c r="S787" s="3" t="s">
        <v>22</v>
      </c>
      <c r="T787" s="3" t="str">
        <f>IF(crimenes_cordoba_ampliado[[#This Row],[Género Víctima]]="Masculino","🚹","🚺")</f>
        <v>🚹</v>
      </c>
      <c r="U787">
        <v>2</v>
      </c>
      <c r="V787" s="3" t="s">
        <v>23</v>
      </c>
      <c r="W787" s="3" t="s">
        <v>63</v>
      </c>
      <c r="X787" s="3" t="s">
        <v>24</v>
      </c>
      <c r="Y787" s="3" t="s">
        <v>99</v>
      </c>
      <c r="Z787" s="3" t="s">
        <v>25</v>
      </c>
      <c r="AA787" s="3" t="s">
        <v>25</v>
      </c>
      <c r="AB787" s="3" t="str">
        <f>IF(crimenes_cordoba_ampliado[[#This Row],[Hubo Arresto]]="Sí", "Resuelto", "Pendiente")</f>
        <v>Resuelto</v>
      </c>
      <c r="AC787" s="3" t="s">
        <v>202</v>
      </c>
      <c r="AD787" s="3"/>
    </row>
    <row r="788" spans="1:30" x14ac:dyDescent="0.25">
      <c r="A788">
        <v>115</v>
      </c>
      <c r="B788" s="1">
        <v>44959</v>
      </c>
      <c r="C788" s="33">
        <f t="shared" si="24"/>
        <v>44959</v>
      </c>
      <c r="D788" s="34">
        <f t="shared" si="25"/>
        <v>44959</v>
      </c>
      <c r="E788" s="35" t="s">
        <v>1454</v>
      </c>
      <c r="F788" s="2">
        <v>0.9243055555555556</v>
      </c>
      <c r="G788" s="3" t="s">
        <v>38</v>
      </c>
      <c r="H788" s="3" t="s">
        <v>55</v>
      </c>
      <c r="I788" s="25" t="str">
        <f>VLOOKUP(H788,Tabla5[#All],4,FALSE)</f>
        <v>-31,4015892433235, -64,160442876477</v>
      </c>
      <c r="J788" s="1">
        <v>28844</v>
      </c>
      <c r="K788" s="7">
        <f>INT((crimenes_cordoba_ampliado[[#This Row],[Fecha]]-crimenes_cordoba_ampliado[[#This Row],[Fecha Nac. Delincuente]])/365)</f>
        <v>44</v>
      </c>
      <c r="L788" s="7" t="str">
        <f>_xlfn.XLOOKUP(crimenes_cordoba_ampliado[[#This Row],[EDAD DELINCUENTE]],'Rango etareo'!$A$10:$A$25,'Rango etareo'!$B$10:$B$25,,-1)</f>
        <v>36 - 45</v>
      </c>
      <c r="M788" s="3" t="s">
        <v>22</v>
      </c>
      <c r="N788" s="3" t="str">
        <f>IF(crimenes_cordoba_ampliado[[#This Row],[Género Delincuente]]="Femenino","🚺","🚹")</f>
        <v>🚹</v>
      </c>
      <c r="O788">
        <v>2</v>
      </c>
      <c r="P788" s="1">
        <v>34822</v>
      </c>
      <c r="Q788" s="7">
        <f>INT((crimenes_cordoba_ampliado[[#This Row],[Fecha]]-crimenes_cordoba_ampliado[[#This Row],[Fecha Nac. Víctima]])/365)</f>
        <v>27</v>
      </c>
      <c r="R788" s="7" t="str">
        <f>_xlfn.XLOOKUP(crimenes_cordoba_ampliado[[#This Row],[EDAD VICTIMA]],'Rango etareo'!$A$2:$A$25,'Rango etareo'!$B$2:$B$25,,-1)</f>
        <v>26 - 35</v>
      </c>
      <c r="S788" s="3" t="s">
        <v>21</v>
      </c>
      <c r="T788" s="3" t="str">
        <f>IF(crimenes_cordoba_ampliado[[#This Row],[Género Víctima]]="Masculino","🚹","🚺")</f>
        <v>🚺</v>
      </c>
      <c r="U788">
        <v>3</v>
      </c>
      <c r="V788" s="3" t="s">
        <v>25</v>
      </c>
      <c r="W788" s="3" t="s">
        <v>83</v>
      </c>
      <c r="X788" s="3" t="s">
        <v>29</v>
      </c>
      <c r="Y788" s="3" t="s">
        <v>24</v>
      </c>
      <c r="Z788" s="3" t="s">
        <v>25</v>
      </c>
      <c r="AA788" s="3" t="s">
        <v>25</v>
      </c>
      <c r="AB788" s="3" t="str">
        <f>IF(crimenes_cordoba_ampliado[[#This Row],[Hubo Arresto]]="Sí", "Resuelto", "Pendiente")</f>
        <v>Pendiente</v>
      </c>
      <c r="AC788" s="3" t="s">
        <v>24</v>
      </c>
      <c r="AD788" s="3"/>
    </row>
    <row r="789" spans="1:30" x14ac:dyDescent="0.25">
      <c r="A789">
        <v>780</v>
      </c>
      <c r="B789" s="1">
        <v>43493</v>
      </c>
      <c r="C789" s="33">
        <f t="shared" si="24"/>
        <v>43493</v>
      </c>
      <c r="D789" s="34">
        <f t="shared" si="25"/>
        <v>43493</v>
      </c>
      <c r="E789" s="35" t="s">
        <v>1452</v>
      </c>
      <c r="F789" s="2">
        <v>0.54791666666666672</v>
      </c>
      <c r="G789" s="3" t="s">
        <v>31</v>
      </c>
      <c r="H789" s="3" t="s">
        <v>32</v>
      </c>
      <c r="I789" s="25" t="str">
        <f>VLOOKUP(H789,Tabla5[#All],4,FALSE)</f>
        <v>-31,4148488101991, -64,1793406489438</v>
      </c>
      <c r="J789" s="1">
        <v>30374</v>
      </c>
      <c r="K789" s="7">
        <f>INT((crimenes_cordoba_ampliado[[#This Row],[Fecha]]-crimenes_cordoba_ampliado[[#This Row],[Fecha Nac. Delincuente]])/365)</f>
        <v>35</v>
      </c>
      <c r="L789" s="7" t="str">
        <f>_xlfn.XLOOKUP(crimenes_cordoba_ampliado[[#This Row],[EDAD DELINCUENTE]],'Rango etareo'!$A$10:$A$25,'Rango etareo'!$B$10:$B$25,,-1)</f>
        <v>26 - 35</v>
      </c>
      <c r="M789" s="3" t="s">
        <v>22</v>
      </c>
      <c r="N789" s="3" t="str">
        <f>IF(crimenes_cordoba_ampliado[[#This Row],[Género Delincuente]]="Femenino","🚺","🚹")</f>
        <v>🚹</v>
      </c>
      <c r="O789">
        <v>4</v>
      </c>
      <c r="P789" s="1">
        <v>34539</v>
      </c>
      <c r="Q789" s="7">
        <f>INT((crimenes_cordoba_ampliado[[#This Row],[Fecha]]-crimenes_cordoba_ampliado[[#This Row],[Fecha Nac. Víctima]])/365)</f>
        <v>24</v>
      </c>
      <c r="R789" s="7" t="str">
        <f>_xlfn.XLOOKUP(crimenes_cordoba_ampliado[[#This Row],[EDAD VICTIMA]],'Rango etareo'!$A$2:$A$25,'Rango etareo'!$B$2:$B$25,,-1)</f>
        <v>18 - 25</v>
      </c>
      <c r="S789" s="3" t="s">
        <v>22</v>
      </c>
      <c r="T789" s="3" t="str">
        <f>IF(crimenes_cordoba_ampliado[[#This Row],[Género Víctima]]="Masculino","🚹","🚺")</f>
        <v>🚹</v>
      </c>
      <c r="U789">
        <v>3</v>
      </c>
      <c r="V789" s="3" t="s">
        <v>23</v>
      </c>
      <c r="W789" s="3" t="s">
        <v>24</v>
      </c>
      <c r="X789" s="3" t="s">
        <v>24</v>
      </c>
      <c r="Y789" s="3" t="s">
        <v>43</v>
      </c>
      <c r="Z789" s="3" t="s">
        <v>23</v>
      </c>
      <c r="AA789" s="3" t="s">
        <v>23</v>
      </c>
      <c r="AB789" s="3" t="str">
        <f>IF(crimenes_cordoba_ampliado[[#This Row],[Hubo Arresto]]="Sí", "Resuelto", "Pendiente")</f>
        <v>Resuelto</v>
      </c>
      <c r="AC789" s="3" t="s">
        <v>234</v>
      </c>
      <c r="AD789" s="3"/>
    </row>
    <row r="790" spans="1:30" x14ac:dyDescent="0.25">
      <c r="A790">
        <v>782</v>
      </c>
      <c r="B790" s="1">
        <v>42249</v>
      </c>
      <c r="C790" s="33">
        <f t="shared" si="24"/>
        <v>42249</v>
      </c>
      <c r="D790" s="34">
        <f t="shared" si="25"/>
        <v>42249</v>
      </c>
      <c r="E790" s="35" t="s">
        <v>1450</v>
      </c>
      <c r="F790" s="2">
        <v>0.71597222222222223</v>
      </c>
      <c r="G790" s="3" t="s">
        <v>35</v>
      </c>
      <c r="H790" s="3" t="s">
        <v>32</v>
      </c>
      <c r="I790" s="25" t="str">
        <f>VLOOKUP(H790,Tabla5[#All],4,FALSE)</f>
        <v>-31,4148488101991, -64,1793406489438</v>
      </c>
      <c r="J790" s="1">
        <v>26642</v>
      </c>
      <c r="K790" s="7">
        <f>INT((crimenes_cordoba_ampliado[[#This Row],[Fecha]]-crimenes_cordoba_ampliado[[#This Row],[Fecha Nac. Delincuente]])/365)</f>
        <v>42</v>
      </c>
      <c r="L790" s="7" t="str">
        <f>_xlfn.XLOOKUP(crimenes_cordoba_ampliado[[#This Row],[EDAD DELINCUENTE]],'Rango etareo'!$A$10:$A$25,'Rango etareo'!$B$10:$B$25,,-1)</f>
        <v>36 - 45</v>
      </c>
      <c r="M790" s="3" t="s">
        <v>21</v>
      </c>
      <c r="N790" s="3" t="str">
        <f>IF(crimenes_cordoba_ampliado[[#This Row],[Género Delincuente]]="Femenino","🚺","🚹")</f>
        <v>🚺</v>
      </c>
      <c r="O790">
        <v>5</v>
      </c>
      <c r="P790" s="1">
        <v>38696</v>
      </c>
      <c r="Q790" s="7">
        <f>INT((crimenes_cordoba_ampliado[[#This Row],[Fecha]]-crimenes_cordoba_ampliado[[#This Row],[Fecha Nac. Víctima]])/365)</f>
        <v>9</v>
      </c>
      <c r="R790" s="7" t="str">
        <f>_xlfn.XLOOKUP(crimenes_cordoba_ampliado[[#This Row],[EDAD VICTIMA]],'Rango etareo'!$A$2:$A$25,'Rango etareo'!$B$2:$B$25,,-1)</f>
        <v>&lt;=17</v>
      </c>
      <c r="S790" s="3" t="s">
        <v>22</v>
      </c>
      <c r="T790" s="3" t="str">
        <f>IF(crimenes_cordoba_ampliado[[#This Row],[Género Víctima]]="Masculino","🚹","🚺")</f>
        <v>🚹</v>
      </c>
      <c r="U790">
        <v>3</v>
      </c>
      <c r="V790" s="3" t="s">
        <v>23</v>
      </c>
      <c r="W790" s="3" t="s">
        <v>24</v>
      </c>
      <c r="X790" s="3" t="s">
        <v>24</v>
      </c>
      <c r="Y790" s="3" t="s">
        <v>56</v>
      </c>
      <c r="Z790" s="3" t="s">
        <v>25</v>
      </c>
      <c r="AA790" s="3" t="s">
        <v>25</v>
      </c>
      <c r="AB790" s="3" t="str">
        <f>IF(crimenes_cordoba_ampliado[[#This Row],[Hubo Arresto]]="Sí", "Resuelto", "Pendiente")</f>
        <v>Resuelto</v>
      </c>
      <c r="AC790" s="3" t="s">
        <v>179</v>
      </c>
      <c r="AD790" s="3"/>
    </row>
    <row r="791" spans="1:30" x14ac:dyDescent="0.25">
      <c r="A791">
        <v>783</v>
      </c>
      <c r="B791" s="1">
        <v>42239</v>
      </c>
      <c r="C791" s="33">
        <f t="shared" si="24"/>
        <v>42239</v>
      </c>
      <c r="D791" s="34">
        <f t="shared" si="25"/>
        <v>42239</v>
      </c>
      <c r="E791" s="35" t="s">
        <v>1449</v>
      </c>
      <c r="F791" s="2">
        <v>0.51944444444444449</v>
      </c>
      <c r="G791" s="3" t="s">
        <v>45</v>
      </c>
      <c r="H791" s="3" t="s">
        <v>70</v>
      </c>
      <c r="I791" s="25" t="str">
        <f>VLOOKUP(H791,Tabla5[#All],4,FALSE)</f>
        <v>-31,3759272890294, -64,2284587792478</v>
      </c>
      <c r="J791" s="1">
        <v>24750</v>
      </c>
      <c r="K791" s="7">
        <f>INT((crimenes_cordoba_ampliado[[#This Row],[Fecha]]-crimenes_cordoba_ampliado[[#This Row],[Fecha Nac. Delincuente]])/365)</f>
        <v>47</v>
      </c>
      <c r="L791" s="7" t="str">
        <f>_xlfn.XLOOKUP(crimenes_cordoba_ampliado[[#This Row],[EDAD DELINCUENTE]],'Rango etareo'!$A$10:$A$25,'Rango etareo'!$B$10:$B$25,,-1)</f>
        <v>46 - 55</v>
      </c>
      <c r="M791" s="3" t="s">
        <v>22</v>
      </c>
      <c r="N791" s="3" t="str">
        <f>IF(crimenes_cordoba_ampliado[[#This Row],[Género Delincuente]]="Femenino","🚺","🚹")</f>
        <v>🚹</v>
      </c>
      <c r="O791">
        <v>5</v>
      </c>
      <c r="P791" s="1">
        <v>29160</v>
      </c>
      <c r="Q791" s="7">
        <f>INT((crimenes_cordoba_ampliado[[#This Row],[Fecha]]-crimenes_cordoba_ampliado[[#This Row],[Fecha Nac. Víctima]])/365)</f>
        <v>35</v>
      </c>
      <c r="R791" s="7" t="str">
        <f>_xlfn.XLOOKUP(crimenes_cordoba_ampliado[[#This Row],[EDAD VICTIMA]],'Rango etareo'!$A$2:$A$25,'Rango etareo'!$B$2:$B$25,,-1)</f>
        <v>26 - 35</v>
      </c>
      <c r="S791" s="3" t="s">
        <v>22</v>
      </c>
      <c r="T791" s="3" t="str">
        <f>IF(crimenes_cordoba_ampliado[[#This Row],[Género Víctima]]="Masculino","🚹","🚺")</f>
        <v>🚹</v>
      </c>
      <c r="U791">
        <v>3</v>
      </c>
      <c r="V791" s="3" t="s">
        <v>23</v>
      </c>
      <c r="W791" s="3" t="s">
        <v>24</v>
      </c>
      <c r="X791" s="3" t="s">
        <v>24</v>
      </c>
      <c r="Y791" s="3" t="s">
        <v>89</v>
      </c>
      <c r="Z791" s="3" t="s">
        <v>23</v>
      </c>
      <c r="AA791" s="3" t="s">
        <v>23</v>
      </c>
      <c r="AB791" s="3" t="str">
        <f>IF(crimenes_cordoba_ampliado[[#This Row],[Hubo Arresto]]="Sí", "Resuelto", "Pendiente")</f>
        <v>Resuelto</v>
      </c>
      <c r="AC791" s="3" t="s">
        <v>242</v>
      </c>
      <c r="AD791" s="3"/>
    </row>
    <row r="792" spans="1:30" x14ac:dyDescent="0.25">
      <c r="A792">
        <v>927</v>
      </c>
      <c r="B792" s="1">
        <v>44964</v>
      </c>
      <c r="C792" s="33">
        <f t="shared" si="24"/>
        <v>44964</v>
      </c>
      <c r="D792" s="34">
        <f t="shared" si="25"/>
        <v>44964</v>
      </c>
      <c r="E792" s="35" t="s">
        <v>1453</v>
      </c>
      <c r="F792" s="2">
        <v>0.62083333333333335</v>
      </c>
      <c r="G792" s="3" t="s">
        <v>81</v>
      </c>
      <c r="H792" s="3" t="s">
        <v>70</v>
      </c>
      <c r="I792" s="25" t="str">
        <f>VLOOKUP(H792,Tabla5[#All],4,FALSE)</f>
        <v>-31,3759272890294, -64,2284587792478</v>
      </c>
      <c r="J792" s="1">
        <v>19351</v>
      </c>
      <c r="K792" s="7">
        <f>INT((crimenes_cordoba_ampliado[[#This Row],[Fecha]]-crimenes_cordoba_ampliado[[#This Row],[Fecha Nac. Delincuente]])/365)</f>
        <v>70</v>
      </c>
      <c r="L792" s="7" t="str">
        <f>_xlfn.XLOOKUP(crimenes_cordoba_ampliado[[#This Row],[EDAD DELINCUENTE]],'Rango etareo'!$A$10:$A$25,'Rango etareo'!$B$10:$B$25,,-1)</f>
        <v>&gt;65</v>
      </c>
      <c r="M792" s="3" t="s">
        <v>22</v>
      </c>
      <c r="N792" s="3" t="str">
        <f>IF(crimenes_cordoba_ampliado[[#This Row],[Género Delincuente]]="Femenino","🚺","🚹")</f>
        <v>🚹</v>
      </c>
      <c r="O792">
        <v>2</v>
      </c>
      <c r="P792" s="1">
        <v>26041</v>
      </c>
      <c r="Q792" s="7">
        <f>INT((crimenes_cordoba_ampliado[[#This Row],[Fecha]]-crimenes_cordoba_ampliado[[#This Row],[Fecha Nac. Víctima]])/365)</f>
        <v>51</v>
      </c>
      <c r="R792" s="7" t="str">
        <f>_xlfn.XLOOKUP(crimenes_cordoba_ampliado[[#This Row],[EDAD VICTIMA]],'Rango etareo'!$A$2:$A$25,'Rango etareo'!$B$2:$B$25,,-1)</f>
        <v>46 - 55</v>
      </c>
      <c r="S792" s="3" t="s">
        <v>22</v>
      </c>
      <c r="T792" s="3" t="str">
        <f>IF(crimenes_cordoba_ampliado[[#This Row],[Género Víctima]]="Masculino","🚹","🚺")</f>
        <v>🚹</v>
      </c>
      <c r="U792">
        <v>2</v>
      </c>
      <c r="V792" s="3" t="s">
        <v>25</v>
      </c>
      <c r="W792" s="3" t="s">
        <v>24</v>
      </c>
      <c r="X792" s="3" t="s">
        <v>24</v>
      </c>
      <c r="Y792" s="3" t="s">
        <v>53</v>
      </c>
      <c r="Z792" s="3" t="s">
        <v>25</v>
      </c>
      <c r="AA792" s="3" t="s">
        <v>25</v>
      </c>
      <c r="AB792" s="3" t="str">
        <f>IF(crimenes_cordoba_ampliado[[#This Row],[Hubo Arresto]]="Sí", "Resuelto", "Pendiente")</f>
        <v>Pendiente</v>
      </c>
      <c r="AC792" s="3" t="s">
        <v>24</v>
      </c>
      <c r="AD792" s="3"/>
    </row>
    <row r="793" spans="1:30" x14ac:dyDescent="0.25">
      <c r="A793">
        <v>472</v>
      </c>
      <c r="B793" s="1">
        <v>44968</v>
      </c>
      <c r="C793" s="33">
        <f t="shared" si="24"/>
        <v>44968</v>
      </c>
      <c r="D793" s="34">
        <f t="shared" si="25"/>
        <v>44968</v>
      </c>
      <c r="E793" s="35" t="s">
        <v>1451</v>
      </c>
      <c r="F793" s="2">
        <v>0.97152777777777777</v>
      </c>
      <c r="G793" s="3" t="s">
        <v>42</v>
      </c>
      <c r="H793" s="3" t="s">
        <v>58</v>
      </c>
      <c r="I793" s="25" t="str">
        <f>VLOOKUP(H793,Tabla5[#All],4,FALSE)</f>
        <v>-31,423018915313, -64,1493562190664</v>
      </c>
      <c r="J793" s="1">
        <v>32096</v>
      </c>
      <c r="K793" s="7">
        <f>INT((crimenes_cordoba_ampliado[[#This Row],[Fecha]]-crimenes_cordoba_ampliado[[#This Row],[Fecha Nac. Delincuente]])/365)</f>
        <v>35</v>
      </c>
      <c r="L793" s="7" t="str">
        <f>_xlfn.XLOOKUP(crimenes_cordoba_ampliado[[#This Row],[EDAD DELINCUENTE]],'Rango etareo'!$A$10:$A$25,'Rango etareo'!$B$10:$B$25,,-1)</f>
        <v>26 - 35</v>
      </c>
      <c r="M793" s="3" t="s">
        <v>22</v>
      </c>
      <c r="N793" s="3" t="str">
        <f>IF(crimenes_cordoba_ampliado[[#This Row],[Género Delincuente]]="Femenino","🚺","🚹")</f>
        <v>🚹</v>
      </c>
      <c r="O793">
        <v>2</v>
      </c>
      <c r="P793" s="1">
        <v>29212</v>
      </c>
      <c r="Q793" s="7">
        <f>INT((crimenes_cordoba_ampliado[[#This Row],[Fecha]]-crimenes_cordoba_ampliado[[#This Row],[Fecha Nac. Víctima]])/365)</f>
        <v>43</v>
      </c>
      <c r="R793" s="7" t="str">
        <f>_xlfn.XLOOKUP(crimenes_cordoba_ampliado[[#This Row],[EDAD VICTIMA]],'Rango etareo'!$A$2:$A$25,'Rango etareo'!$B$2:$B$25,,-1)</f>
        <v>36 - 45</v>
      </c>
      <c r="S793" s="3" t="s">
        <v>21</v>
      </c>
      <c r="T793" s="3" t="str">
        <f>IF(crimenes_cordoba_ampliado[[#This Row],[Género Víctima]]="Masculino","🚹","🚺")</f>
        <v>🚺</v>
      </c>
      <c r="U793">
        <v>1</v>
      </c>
      <c r="V793" s="3" t="s">
        <v>25</v>
      </c>
      <c r="W793" s="3" t="s">
        <v>36</v>
      </c>
      <c r="X793" s="3" t="s">
        <v>24</v>
      </c>
      <c r="Y793" s="3" t="s">
        <v>99</v>
      </c>
      <c r="Z793" s="3" t="s">
        <v>25</v>
      </c>
      <c r="AA793" s="3" t="s">
        <v>25</v>
      </c>
      <c r="AB793" s="3" t="str">
        <f>IF(crimenes_cordoba_ampliado[[#This Row],[Hubo Arresto]]="Sí", "Resuelto", "Pendiente")</f>
        <v>Pendiente</v>
      </c>
      <c r="AC793" s="3" t="s">
        <v>24</v>
      </c>
      <c r="AD793" s="3"/>
    </row>
    <row r="794" spans="1:30" x14ac:dyDescent="0.25">
      <c r="A794">
        <v>786</v>
      </c>
      <c r="B794" s="1">
        <v>42739</v>
      </c>
      <c r="C794" s="33">
        <f t="shared" si="24"/>
        <v>42739</v>
      </c>
      <c r="D794" s="34">
        <f t="shared" si="25"/>
        <v>42739</v>
      </c>
      <c r="E794" s="35" t="s">
        <v>1450</v>
      </c>
      <c r="F794" s="2">
        <v>0.20902777777777778</v>
      </c>
      <c r="G794" s="3" t="s">
        <v>42</v>
      </c>
      <c r="H794" s="3" t="s">
        <v>28</v>
      </c>
      <c r="I794" s="25" t="str">
        <f>VLOOKUP(H794,Tabla5[#All],4,FALSE)</f>
        <v>-31,4129883640337, -64,1681120522587</v>
      </c>
      <c r="J794" s="1">
        <v>24131</v>
      </c>
      <c r="K794" s="7">
        <f>INT((crimenes_cordoba_ampliado[[#This Row],[Fecha]]-crimenes_cordoba_ampliado[[#This Row],[Fecha Nac. Delincuente]])/365)</f>
        <v>50</v>
      </c>
      <c r="L794" s="7" t="str">
        <f>_xlfn.XLOOKUP(crimenes_cordoba_ampliado[[#This Row],[EDAD DELINCUENTE]],'Rango etareo'!$A$10:$A$25,'Rango etareo'!$B$10:$B$25,,-1)</f>
        <v>46 - 55</v>
      </c>
      <c r="M794" s="3" t="s">
        <v>22</v>
      </c>
      <c r="N794" s="3" t="str">
        <f>IF(crimenes_cordoba_ampliado[[#This Row],[Género Delincuente]]="Femenino","🚺","🚹")</f>
        <v>🚹</v>
      </c>
      <c r="O794">
        <v>3</v>
      </c>
      <c r="P794" s="1">
        <v>34724</v>
      </c>
      <c r="Q794" s="7">
        <f>INT((crimenes_cordoba_ampliado[[#This Row],[Fecha]]-crimenes_cordoba_ampliado[[#This Row],[Fecha Nac. Víctima]])/365)</f>
        <v>21</v>
      </c>
      <c r="R794" s="7" t="str">
        <f>_xlfn.XLOOKUP(crimenes_cordoba_ampliado[[#This Row],[EDAD VICTIMA]],'Rango etareo'!$A$2:$A$25,'Rango etareo'!$B$2:$B$25,,-1)</f>
        <v>18 - 25</v>
      </c>
      <c r="S794" s="3" t="s">
        <v>21</v>
      </c>
      <c r="T794" s="3" t="str">
        <f>IF(crimenes_cordoba_ampliado[[#This Row],[Género Víctima]]="Masculino","🚹","🚺")</f>
        <v>🚺</v>
      </c>
      <c r="U794">
        <v>3</v>
      </c>
      <c r="V794" s="3" t="s">
        <v>23</v>
      </c>
      <c r="W794" s="3" t="s">
        <v>24</v>
      </c>
      <c r="X794" s="3" t="s">
        <v>50</v>
      </c>
      <c r="Y794" s="3" t="s">
        <v>24</v>
      </c>
      <c r="Z794" s="3" t="s">
        <v>25</v>
      </c>
      <c r="AA794" s="3" t="s">
        <v>23</v>
      </c>
      <c r="AB794" s="3" t="str">
        <f>IF(crimenes_cordoba_ampliado[[#This Row],[Hubo Arresto]]="Sí", "Resuelto", "Pendiente")</f>
        <v>Resuelto</v>
      </c>
      <c r="AC794" s="3" t="s">
        <v>303</v>
      </c>
      <c r="AD794" s="3"/>
    </row>
    <row r="795" spans="1:30" x14ac:dyDescent="0.25">
      <c r="A795">
        <v>788</v>
      </c>
      <c r="B795" s="1">
        <v>44918</v>
      </c>
      <c r="C795" s="33">
        <f t="shared" si="24"/>
        <v>44918</v>
      </c>
      <c r="D795" s="34">
        <f t="shared" si="25"/>
        <v>44918</v>
      </c>
      <c r="E795" s="35" t="s">
        <v>1455</v>
      </c>
      <c r="F795" s="2">
        <v>0.48749999999999999</v>
      </c>
      <c r="G795" s="3" t="s">
        <v>45</v>
      </c>
      <c r="H795" s="3" t="s">
        <v>52</v>
      </c>
      <c r="I795" s="25" t="str">
        <f>VLOOKUP(H795,Tabla5[#All],4,FALSE)</f>
        <v>-31,3477902896523, -64,2644406169297</v>
      </c>
      <c r="J795" s="1">
        <v>25801</v>
      </c>
      <c r="K795" s="7">
        <f>INT((crimenes_cordoba_ampliado[[#This Row],[Fecha]]-crimenes_cordoba_ampliado[[#This Row],[Fecha Nac. Delincuente]])/365)</f>
        <v>52</v>
      </c>
      <c r="L795" s="7" t="str">
        <f>_xlfn.XLOOKUP(crimenes_cordoba_ampliado[[#This Row],[EDAD DELINCUENTE]],'Rango etareo'!$A$10:$A$25,'Rango etareo'!$B$10:$B$25,,-1)</f>
        <v>46 - 55</v>
      </c>
      <c r="M795" s="3" t="s">
        <v>22</v>
      </c>
      <c r="N795" s="3" t="str">
        <f>IF(crimenes_cordoba_ampliado[[#This Row],[Género Delincuente]]="Femenino","🚺","🚹")</f>
        <v>🚹</v>
      </c>
      <c r="O795">
        <v>4</v>
      </c>
      <c r="P795" s="1">
        <v>19379</v>
      </c>
      <c r="Q795" s="7">
        <f>INT((crimenes_cordoba_ampliado[[#This Row],[Fecha]]-crimenes_cordoba_ampliado[[#This Row],[Fecha Nac. Víctima]])/365)</f>
        <v>69</v>
      </c>
      <c r="R795" s="7" t="str">
        <f>_xlfn.XLOOKUP(crimenes_cordoba_ampliado[[#This Row],[EDAD VICTIMA]],'Rango etareo'!$A$2:$A$25,'Rango etareo'!$B$2:$B$25,,-1)</f>
        <v>&gt;65</v>
      </c>
      <c r="S795" s="3" t="s">
        <v>21</v>
      </c>
      <c r="T795" s="3" t="str">
        <f>IF(crimenes_cordoba_ampliado[[#This Row],[Género Víctima]]="Masculino","🚹","🚺")</f>
        <v>🚺</v>
      </c>
      <c r="U795">
        <v>1</v>
      </c>
      <c r="V795" s="3" t="s">
        <v>23</v>
      </c>
      <c r="W795" s="3" t="s">
        <v>24</v>
      </c>
      <c r="X795" s="3" t="s">
        <v>24</v>
      </c>
      <c r="Y795" s="3" t="s">
        <v>106</v>
      </c>
      <c r="Z795" s="3" t="s">
        <v>25</v>
      </c>
      <c r="AA795" s="3" t="s">
        <v>25</v>
      </c>
      <c r="AB795" s="3" t="str">
        <f>IF(crimenes_cordoba_ampliado[[#This Row],[Hubo Arresto]]="Sí", "Resuelto", "Pendiente")</f>
        <v>Resuelto</v>
      </c>
      <c r="AC795" s="3" t="s">
        <v>304</v>
      </c>
      <c r="AD795" s="3"/>
    </row>
    <row r="796" spans="1:30" x14ac:dyDescent="0.25">
      <c r="A796">
        <v>789</v>
      </c>
      <c r="B796" s="1">
        <v>43581</v>
      </c>
      <c r="C796" s="33">
        <f t="shared" si="24"/>
        <v>43581</v>
      </c>
      <c r="D796" s="34">
        <f t="shared" si="25"/>
        <v>43581</v>
      </c>
      <c r="E796" s="35" t="s">
        <v>1455</v>
      </c>
      <c r="F796" s="2">
        <v>0.46736111111111112</v>
      </c>
      <c r="G796" s="3" t="s">
        <v>48</v>
      </c>
      <c r="H796" s="3" t="s">
        <v>28</v>
      </c>
      <c r="I796" s="25" t="str">
        <f>VLOOKUP(H796,Tabla5[#All],4,FALSE)</f>
        <v>-31,4129883640337, -64,1681120522587</v>
      </c>
      <c r="J796" s="1">
        <v>25706</v>
      </c>
      <c r="K796" s="7">
        <f>INT((crimenes_cordoba_ampliado[[#This Row],[Fecha]]-crimenes_cordoba_ampliado[[#This Row],[Fecha Nac. Delincuente]])/365)</f>
        <v>48</v>
      </c>
      <c r="L796" s="7" t="str">
        <f>_xlfn.XLOOKUP(crimenes_cordoba_ampliado[[#This Row],[EDAD DELINCUENTE]],'Rango etareo'!$A$10:$A$25,'Rango etareo'!$B$10:$B$25,,-1)</f>
        <v>46 - 55</v>
      </c>
      <c r="M796" s="3" t="s">
        <v>21</v>
      </c>
      <c r="N796" s="3" t="str">
        <f>IF(crimenes_cordoba_ampliado[[#This Row],[Género Delincuente]]="Femenino","🚺","🚹")</f>
        <v>🚺</v>
      </c>
      <c r="O796">
        <v>4</v>
      </c>
      <c r="P796" s="1">
        <v>16092</v>
      </c>
      <c r="Q796" s="7">
        <f>INT((crimenes_cordoba_ampliado[[#This Row],[Fecha]]-crimenes_cordoba_ampliado[[#This Row],[Fecha Nac. Víctima]])/365)</f>
        <v>75</v>
      </c>
      <c r="R796" s="7" t="str">
        <f>_xlfn.XLOOKUP(crimenes_cordoba_ampliado[[#This Row],[EDAD VICTIMA]],'Rango etareo'!$A$2:$A$25,'Rango etareo'!$B$2:$B$25,,-1)</f>
        <v>&gt;65</v>
      </c>
      <c r="S796" s="3" t="s">
        <v>22</v>
      </c>
      <c r="T796" s="3" t="str">
        <f>IF(crimenes_cordoba_ampliado[[#This Row],[Género Víctima]]="Masculino","🚹","🚺")</f>
        <v>🚹</v>
      </c>
      <c r="U796">
        <v>3</v>
      </c>
      <c r="V796" s="3" t="s">
        <v>23</v>
      </c>
      <c r="W796" s="3" t="s">
        <v>24</v>
      </c>
      <c r="X796" s="3" t="s">
        <v>24</v>
      </c>
      <c r="Y796" s="3" t="s">
        <v>89</v>
      </c>
      <c r="Z796" s="3" t="s">
        <v>25</v>
      </c>
      <c r="AA796" s="3" t="s">
        <v>25</v>
      </c>
      <c r="AB796" s="3" t="str">
        <f>IF(crimenes_cordoba_ampliado[[#This Row],[Hubo Arresto]]="Sí", "Resuelto", "Pendiente")</f>
        <v>Resuelto</v>
      </c>
      <c r="AC796" s="3" t="s">
        <v>305</v>
      </c>
      <c r="AD796" s="3"/>
    </row>
    <row r="797" spans="1:30" x14ac:dyDescent="0.25">
      <c r="A797">
        <v>793</v>
      </c>
      <c r="B797" s="1">
        <v>42021</v>
      </c>
      <c r="C797" s="33">
        <f t="shared" si="24"/>
        <v>42021</v>
      </c>
      <c r="D797" s="34">
        <f t="shared" si="25"/>
        <v>42021</v>
      </c>
      <c r="E797" s="35" t="s">
        <v>1451</v>
      </c>
      <c r="F797" s="2">
        <v>0.85416666666666663</v>
      </c>
      <c r="G797" s="3" t="s">
        <v>19</v>
      </c>
      <c r="H797" s="3" t="s">
        <v>52</v>
      </c>
      <c r="I797" s="25" t="str">
        <f>VLOOKUP(H797,Tabla5[#All],4,FALSE)</f>
        <v>-31,3477902896523, -64,2644406169297</v>
      </c>
      <c r="J797" s="1">
        <v>21530</v>
      </c>
      <c r="K797" s="7">
        <f>INT((crimenes_cordoba_ampliado[[#This Row],[Fecha]]-crimenes_cordoba_ampliado[[#This Row],[Fecha Nac. Delincuente]])/365)</f>
        <v>56</v>
      </c>
      <c r="L797" s="7" t="str">
        <f>_xlfn.XLOOKUP(crimenes_cordoba_ampliado[[#This Row],[EDAD DELINCUENTE]],'Rango etareo'!$A$10:$A$25,'Rango etareo'!$B$10:$B$25,,-1)</f>
        <v>56 - 65</v>
      </c>
      <c r="M797" s="3" t="s">
        <v>22</v>
      </c>
      <c r="N797" s="3" t="str">
        <f>IF(crimenes_cordoba_ampliado[[#This Row],[Género Delincuente]]="Femenino","🚺","🚹")</f>
        <v>🚹</v>
      </c>
      <c r="O797">
        <v>1</v>
      </c>
      <c r="P797" s="1">
        <v>39581</v>
      </c>
      <c r="Q797" s="7">
        <f>INT((crimenes_cordoba_ampliado[[#This Row],[Fecha]]-crimenes_cordoba_ampliado[[#This Row],[Fecha Nac. Víctima]])/365)</f>
        <v>6</v>
      </c>
      <c r="R797" s="7" t="str">
        <f>_xlfn.XLOOKUP(crimenes_cordoba_ampliado[[#This Row],[EDAD VICTIMA]],'Rango etareo'!$A$2:$A$25,'Rango etareo'!$B$2:$B$25,,-1)</f>
        <v>&lt;=17</v>
      </c>
      <c r="S797" s="3" t="s">
        <v>21</v>
      </c>
      <c r="T797" s="3" t="str">
        <f>IF(crimenes_cordoba_ampliado[[#This Row],[Género Víctima]]="Masculino","🚹","🚺")</f>
        <v>🚺</v>
      </c>
      <c r="U797">
        <v>1</v>
      </c>
      <c r="V797" s="3" t="s">
        <v>23</v>
      </c>
      <c r="W797" s="3" t="s">
        <v>83</v>
      </c>
      <c r="X797" s="3" t="s">
        <v>67</v>
      </c>
      <c r="Y797" s="3" t="s">
        <v>24</v>
      </c>
      <c r="Z797" s="3" t="s">
        <v>25</v>
      </c>
      <c r="AA797" s="3" t="s">
        <v>25</v>
      </c>
      <c r="AB797" s="3" t="str">
        <f>IF(crimenes_cordoba_ampliado[[#This Row],[Hubo Arresto]]="Sí", "Resuelto", "Pendiente")</f>
        <v>Resuelto</v>
      </c>
      <c r="AC797" s="3" t="s">
        <v>299</v>
      </c>
      <c r="AD797" s="3"/>
    </row>
    <row r="798" spans="1:30" x14ac:dyDescent="0.25">
      <c r="A798">
        <v>794</v>
      </c>
      <c r="B798" s="1">
        <v>44407</v>
      </c>
      <c r="C798" s="33">
        <f t="shared" si="24"/>
        <v>44407</v>
      </c>
      <c r="D798" s="34">
        <f t="shared" si="25"/>
        <v>44407</v>
      </c>
      <c r="E798" s="35" t="s">
        <v>1455</v>
      </c>
      <c r="F798" s="2">
        <v>0.70625000000000004</v>
      </c>
      <c r="G798" s="3" t="s">
        <v>35</v>
      </c>
      <c r="H798" s="3" t="s">
        <v>65</v>
      </c>
      <c r="I798" s="25" t="str">
        <f>VLOOKUP(H798,Tabla5[#All],4,FALSE)</f>
        <v>-31,4285567311661, -64,1853198281007</v>
      </c>
      <c r="J798" s="1">
        <v>29528</v>
      </c>
      <c r="K798" s="7">
        <f>INT((crimenes_cordoba_ampliado[[#This Row],[Fecha]]-crimenes_cordoba_ampliado[[#This Row],[Fecha Nac. Delincuente]])/365)</f>
        <v>40</v>
      </c>
      <c r="L798" s="7" t="str">
        <f>_xlfn.XLOOKUP(crimenes_cordoba_ampliado[[#This Row],[EDAD DELINCUENTE]],'Rango etareo'!$A$10:$A$25,'Rango etareo'!$B$10:$B$25,,-1)</f>
        <v>36 - 45</v>
      </c>
      <c r="M798" s="3" t="s">
        <v>21</v>
      </c>
      <c r="N798" s="3" t="str">
        <f>IF(crimenes_cordoba_ampliado[[#This Row],[Género Delincuente]]="Femenino","🚺","🚹")</f>
        <v>🚺</v>
      </c>
      <c r="O798">
        <v>3</v>
      </c>
      <c r="P798" s="1">
        <v>30226</v>
      </c>
      <c r="Q798" s="7">
        <f>INT((crimenes_cordoba_ampliado[[#This Row],[Fecha]]-crimenes_cordoba_ampliado[[#This Row],[Fecha Nac. Víctima]])/365)</f>
        <v>38</v>
      </c>
      <c r="R798" s="7" t="str">
        <f>_xlfn.XLOOKUP(crimenes_cordoba_ampliado[[#This Row],[EDAD VICTIMA]],'Rango etareo'!$A$2:$A$25,'Rango etareo'!$B$2:$B$25,,-1)</f>
        <v>36 - 45</v>
      </c>
      <c r="S798" s="3" t="s">
        <v>22</v>
      </c>
      <c r="T798" s="3" t="str">
        <f>IF(crimenes_cordoba_ampliado[[#This Row],[Género Víctima]]="Masculino","🚹","🚺")</f>
        <v>🚹</v>
      </c>
      <c r="U798">
        <v>3</v>
      </c>
      <c r="V798" s="3" t="s">
        <v>23</v>
      </c>
      <c r="W798" s="3" t="s">
        <v>24</v>
      </c>
      <c r="X798" s="3" t="s">
        <v>24</v>
      </c>
      <c r="Y798" s="3" t="s">
        <v>69</v>
      </c>
      <c r="Z798" s="3" t="s">
        <v>25</v>
      </c>
      <c r="AA798" s="3" t="s">
        <v>25</v>
      </c>
      <c r="AB798" s="3" t="str">
        <f>IF(crimenes_cordoba_ampliado[[#This Row],[Hubo Arresto]]="Sí", "Resuelto", "Pendiente")</f>
        <v>Resuelto</v>
      </c>
      <c r="AC798" s="3" t="s">
        <v>234</v>
      </c>
      <c r="AD798" s="3"/>
    </row>
    <row r="799" spans="1:30" x14ac:dyDescent="0.25">
      <c r="A799">
        <v>796</v>
      </c>
      <c r="B799" s="1">
        <v>44219</v>
      </c>
      <c r="C799" s="33">
        <f t="shared" si="24"/>
        <v>44219</v>
      </c>
      <c r="D799" s="34">
        <f t="shared" si="25"/>
        <v>44219</v>
      </c>
      <c r="E799" s="35" t="s">
        <v>1451</v>
      </c>
      <c r="F799" s="2">
        <v>0.77916666666666667</v>
      </c>
      <c r="G799" s="3" t="s">
        <v>48</v>
      </c>
      <c r="H799" s="3" t="s">
        <v>49</v>
      </c>
      <c r="I799" s="25" t="str">
        <f>VLOOKUP(H799,Tabla5[#All],4,FALSE)</f>
        <v>-31,4506257494184, -64,1733054344705</v>
      </c>
      <c r="J799" s="1">
        <v>30034</v>
      </c>
      <c r="K799" s="7">
        <f>INT((crimenes_cordoba_ampliado[[#This Row],[Fecha]]-crimenes_cordoba_ampliado[[#This Row],[Fecha Nac. Delincuente]])/365)</f>
        <v>38</v>
      </c>
      <c r="L799" s="7" t="str">
        <f>_xlfn.XLOOKUP(crimenes_cordoba_ampliado[[#This Row],[EDAD DELINCUENTE]],'Rango etareo'!$A$10:$A$25,'Rango etareo'!$B$10:$B$25,,-1)</f>
        <v>36 - 45</v>
      </c>
      <c r="M799" s="3" t="s">
        <v>21</v>
      </c>
      <c r="N799" s="3" t="str">
        <f>IF(crimenes_cordoba_ampliado[[#This Row],[Género Delincuente]]="Femenino","🚺","🚹")</f>
        <v>🚺</v>
      </c>
      <c r="O799">
        <v>4</v>
      </c>
      <c r="P799" s="1">
        <v>27516</v>
      </c>
      <c r="Q799" s="7">
        <f>INT((crimenes_cordoba_ampliado[[#This Row],[Fecha]]-crimenes_cordoba_ampliado[[#This Row],[Fecha Nac. Víctima]])/365)</f>
        <v>45</v>
      </c>
      <c r="R799" s="7" t="str">
        <f>_xlfn.XLOOKUP(crimenes_cordoba_ampliado[[#This Row],[EDAD VICTIMA]],'Rango etareo'!$A$2:$A$25,'Rango etareo'!$B$2:$B$25,,-1)</f>
        <v>36 - 45</v>
      </c>
      <c r="S799" s="3" t="s">
        <v>22</v>
      </c>
      <c r="T799" s="3" t="str">
        <f>IF(crimenes_cordoba_ampliado[[#This Row],[Género Víctima]]="Masculino","🚹","🚺")</f>
        <v>🚹</v>
      </c>
      <c r="U799">
        <v>1</v>
      </c>
      <c r="V799" s="3" t="s">
        <v>23</v>
      </c>
      <c r="W799" s="3" t="s">
        <v>71</v>
      </c>
      <c r="X799" s="3" t="s">
        <v>29</v>
      </c>
      <c r="Y799" s="3" t="s">
        <v>24</v>
      </c>
      <c r="Z799" s="3" t="s">
        <v>25</v>
      </c>
      <c r="AA799" s="3" t="s">
        <v>25</v>
      </c>
      <c r="AB799" s="3" t="str">
        <f>IF(crimenes_cordoba_ampliado[[#This Row],[Hubo Arresto]]="Sí", "Resuelto", "Pendiente")</f>
        <v>Resuelto</v>
      </c>
      <c r="AC799" s="3" t="s">
        <v>116</v>
      </c>
      <c r="AD799" s="3"/>
    </row>
    <row r="800" spans="1:30" x14ac:dyDescent="0.25">
      <c r="A800">
        <v>30</v>
      </c>
      <c r="B800" s="1">
        <v>44998</v>
      </c>
      <c r="C800" s="33">
        <f t="shared" si="24"/>
        <v>44998</v>
      </c>
      <c r="D800" s="34">
        <f t="shared" si="25"/>
        <v>44998</v>
      </c>
      <c r="E800" s="35" t="s">
        <v>1452</v>
      </c>
      <c r="F800" s="2">
        <v>0.86805555555555558</v>
      </c>
      <c r="G800" s="3" t="s">
        <v>42</v>
      </c>
      <c r="H800" s="3" t="s">
        <v>20</v>
      </c>
      <c r="I800" s="25" t="str">
        <f>VLOOKUP(H800,Tabla5[#All],4,FALSE)</f>
        <v>-31,4800162965848, -64,2094200976892</v>
      </c>
      <c r="J800" s="1">
        <v>26853</v>
      </c>
      <c r="K800" s="7">
        <f>INT((crimenes_cordoba_ampliado[[#This Row],[Fecha]]-crimenes_cordoba_ampliado[[#This Row],[Fecha Nac. Delincuente]])/365)</f>
        <v>49</v>
      </c>
      <c r="L800" s="7" t="str">
        <f>_xlfn.XLOOKUP(crimenes_cordoba_ampliado[[#This Row],[EDAD DELINCUENTE]],'Rango etareo'!$A$10:$A$25,'Rango etareo'!$B$10:$B$25,,-1)</f>
        <v>46 - 55</v>
      </c>
      <c r="M800" s="3" t="s">
        <v>21</v>
      </c>
      <c r="N800" s="3" t="str">
        <f>IF(crimenes_cordoba_ampliado[[#This Row],[Género Delincuente]]="Femenino","🚺","🚹")</f>
        <v>🚺</v>
      </c>
      <c r="O800">
        <v>3</v>
      </c>
      <c r="P800" s="1">
        <v>35894</v>
      </c>
      <c r="Q800" s="7">
        <f>INT((crimenes_cordoba_ampliado[[#This Row],[Fecha]]-crimenes_cordoba_ampliado[[#This Row],[Fecha Nac. Víctima]])/365)</f>
        <v>24</v>
      </c>
      <c r="R800" s="7" t="str">
        <f>_xlfn.XLOOKUP(crimenes_cordoba_ampliado[[#This Row],[EDAD VICTIMA]],'Rango etareo'!$A$2:$A$25,'Rango etareo'!$B$2:$B$25,,-1)</f>
        <v>18 - 25</v>
      </c>
      <c r="S800" s="3" t="s">
        <v>22</v>
      </c>
      <c r="T800" s="3" t="str">
        <f>IF(crimenes_cordoba_ampliado[[#This Row],[Género Víctima]]="Masculino","🚹","🚺")</f>
        <v>🚹</v>
      </c>
      <c r="U800">
        <v>1</v>
      </c>
      <c r="V800" s="3" t="s">
        <v>25</v>
      </c>
      <c r="W800" s="3" t="s">
        <v>24</v>
      </c>
      <c r="X800" s="3" t="s">
        <v>24</v>
      </c>
      <c r="Y800" s="3" t="s">
        <v>33</v>
      </c>
      <c r="Z800" s="3" t="s">
        <v>23</v>
      </c>
      <c r="AA800" s="3" t="s">
        <v>25</v>
      </c>
      <c r="AB800" s="3" t="str">
        <f>IF(crimenes_cordoba_ampliado[[#This Row],[Hubo Arresto]]="Sí", "Resuelto", "Pendiente")</f>
        <v>Pendiente</v>
      </c>
      <c r="AC800" s="3" t="s">
        <v>24</v>
      </c>
      <c r="AD800" s="3"/>
    </row>
    <row r="801" spans="1:30" x14ac:dyDescent="0.25">
      <c r="A801">
        <v>798</v>
      </c>
      <c r="B801" s="1">
        <v>44606</v>
      </c>
      <c r="C801" s="33">
        <f t="shared" si="24"/>
        <v>44606</v>
      </c>
      <c r="D801" s="34">
        <f t="shared" si="25"/>
        <v>44606</v>
      </c>
      <c r="E801" s="35" t="s">
        <v>1452</v>
      </c>
      <c r="F801" s="2">
        <v>0.9291666666666667</v>
      </c>
      <c r="G801" s="3" t="s">
        <v>42</v>
      </c>
      <c r="H801" s="3" t="s">
        <v>58</v>
      </c>
      <c r="I801" s="25" t="str">
        <f>VLOOKUP(H801,Tabla5[#All],4,FALSE)</f>
        <v>-31,423018915313, -64,1493562190664</v>
      </c>
      <c r="J801" s="1">
        <v>36933</v>
      </c>
      <c r="K801" s="7">
        <f>INT((crimenes_cordoba_ampliado[[#This Row],[Fecha]]-crimenes_cordoba_ampliado[[#This Row],[Fecha Nac. Delincuente]])/365)</f>
        <v>21</v>
      </c>
      <c r="L801" s="7" t="str">
        <f>_xlfn.XLOOKUP(crimenes_cordoba_ampliado[[#This Row],[EDAD DELINCUENTE]],'Rango etareo'!$A$10:$A$25,'Rango etareo'!$B$10:$B$25,,-1)</f>
        <v>18 - 25</v>
      </c>
      <c r="M801" s="3" t="s">
        <v>21</v>
      </c>
      <c r="N801" s="3" t="str">
        <f>IF(crimenes_cordoba_ampliado[[#This Row],[Género Delincuente]]="Femenino","🚺","🚹")</f>
        <v>🚺</v>
      </c>
      <c r="O801">
        <v>4</v>
      </c>
      <c r="P801" s="1">
        <v>18396</v>
      </c>
      <c r="Q801" s="7">
        <f>INT((crimenes_cordoba_ampliado[[#This Row],[Fecha]]-crimenes_cordoba_ampliado[[#This Row],[Fecha Nac. Víctima]])/365)</f>
        <v>71</v>
      </c>
      <c r="R801" s="7" t="str">
        <f>_xlfn.XLOOKUP(crimenes_cordoba_ampliado[[#This Row],[EDAD VICTIMA]],'Rango etareo'!$A$2:$A$25,'Rango etareo'!$B$2:$B$25,,-1)</f>
        <v>&gt;65</v>
      </c>
      <c r="S801" s="3" t="s">
        <v>21</v>
      </c>
      <c r="T801" s="3" t="str">
        <f>IF(crimenes_cordoba_ampliado[[#This Row],[Género Víctima]]="Masculino","🚹","🚺")</f>
        <v>🚺</v>
      </c>
      <c r="U801">
        <v>1</v>
      </c>
      <c r="V801" s="3" t="s">
        <v>23</v>
      </c>
      <c r="W801" s="3" t="s">
        <v>36</v>
      </c>
      <c r="X801" s="3" t="s">
        <v>41</v>
      </c>
      <c r="Y801" s="3" t="s">
        <v>24</v>
      </c>
      <c r="Z801" s="3" t="s">
        <v>23</v>
      </c>
      <c r="AA801" s="3" t="s">
        <v>25</v>
      </c>
      <c r="AB801" s="3" t="str">
        <f>IF(crimenes_cordoba_ampliado[[#This Row],[Hubo Arresto]]="Sí", "Resuelto", "Pendiente")</f>
        <v>Resuelto</v>
      </c>
      <c r="AC801" s="3" t="s">
        <v>61</v>
      </c>
      <c r="AD801" s="3"/>
    </row>
    <row r="802" spans="1:30" x14ac:dyDescent="0.25">
      <c r="A802">
        <v>11</v>
      </c>
      <c r="B802" s="1">
        <v>45000</v>
      </c>
      <c r="C802" s="33">
        <f t="shared" si="24"/>
        <v>45000</v>
      </c>
      <c r="D802" s="34">
        <f t="shared" si="25"/>
        <v>45000</v>
      </c>
      <c r="E802" s="35" t="s">
        <v>1450</v>
      </c>
      <c r="F802" s="2">
        <v>0.30625000000000002</v>
      </c>
      <c r="G802" s="3" t="s">
        <v>51</v>
      </c>
      <c r="H802" s="3" t="s">
        <v>52</v>
      </c>
      <c r="I802" s="25" t="str">
        <f>VLOOKUP(H802,Tabla5[#All],4,FALSE)</f>
        <v>-31,3477902896523, -64,2644406169297</v>
      </c>
      <c r="J802" s="1">
        <v>34402</v>
      </c>
      <c r="K802" s="7">
        <f>INT((crimenes_cordoba_ampliado[[#This Row],[Fecha]]-crimenes_cordoba_ampliado[[#This Row],[Fecha Nac. Delincuente]])/365)</f>
        <v>29</v>
      </c>
      <c r="L802" s="7" t="str">
        <f>_xlfn.XLOOKUP(crimenes_cordoba_ampliado[[#This Row],[EDAD DELINCUENTE]],'Rango etareo'!$A$10:$A$25,'Rango etareo'!$B$10:$B$25,,-1)</f>
        <v>26 - 35</v>
      </c>
      <c r="M802" s="3" t="s">
        <v>21</v>
      </c>
      <c r="N802" s="3" t="str">
        <f>IF(crimenes_cordoba_ampliado[[#This Row],[Género Delincuente]]="Femenino","🚺","🚹")</f>
        <v>🚺</v>
      </c>
      <c r="O802">
        <v>3</v>
      </c>
      <c r="P802" s="1">
        <v>16143</v>
      </c>
      <c r="Q802" s="7">
        <f>INT((crimenes_cordoba_ampliado[[#This Row],[Fecha]]-crimenes_cordoba_ampliado[[#This Row],[Fecha Nac. Víctima]])/365)</f>
        <v>79</v>
      </c>
      <c r="R802" s="7" t="str">
        <f>_xlfn.XLOOKUP(crimenes_cordoba_ampliado[[#This Row],[EDAD VICTIMA]],'Rango etareo'!$A$2:$A$25,'Rango etareo'!$B$2:$B$25,,-1)</f>
        <v>&gt;65</v>
      </c>
      <c r="S802" s="3" t="s">
        <v>22</v>
      </c>
      <c r="T802" s="3" t="str">
        <f>IF(crimenes_cordoba_ampliado[[#This Row],[Género Víctima]]="Masculino","🚹","🚺")</f>
        <v>🚹</v>
      </c>
      <c r="U802">
        <v>1</v>
      </c>
      <c r="V802" s="3" t="s">
        <v>25</v>
      </c>
      <c r="W802" s="3" t="s">
        <v>24</v>
      </c>
      <c r="X802" s="3" t="s">
        <v>24</v>
      </c>
      <c r="Y802" s="3" t="s">
        <v>53</v>
      </c>
      <c r="Z802" s="3" t="s">
        <v>25</v>
      </c>
      <c r="AA802" s="3" t="s">
        <v>25</v>
      </c>
      <c r="AB802" s="3" t="str">
        <f>IF(crimenes_cordoba_ampliado[[#This Row],[Hubo Arresto]]="Sí", "Resuelto", "Pendiente")</f>
        <v>Pendiente</v>
      </c>
      <c r="AC802" s="3" t="s">
        <v>24</v>
      </c>
      <c r="AD802" s="3"/>
    </row>
    <row r="803" spans="1:30" x14ac:dyDescent="0.25">
      <c r="A803">
        <v>595</v>
      </c>
      <c r="B803" s="1">
        <v>45011</v>
      </c>
      <c r="C803" s="33">
        <f t="shared" si="24"/>
        <v>45011</v>
      </c>
      <c r="D803" s="34">
        <f t="shared" si="25"/>
        <v>45011</v>
      </c>
      <c r="E803" s="35" t="s">
        <v>1449</v>
      </c>
      <c r="F803" s="2">
        <v>0.85</v>
      </c>
      <c r="G803" s="3" t="s">
        <v>45</v>
      </c>
      <c r="H803" s="3" t="s">
        <v>70</v>
      </c>
      <c r="I803" s="25" t="str">
        <f>VLOOKUP(H803,Tabla5[#All],4,FALSE)</f>
        <v>-31,3759272890294, -64,2284587792478</v>
      </c>
      <c r="J803" s="1">
        <v>37613</v>
      </c>
      <c r="K803" s="7">
        <f>INT((crimenes_cordoba_ampliado[[#This Row],[Fecha]]-crimenes_cordoba_ampliado[[#This Row],[Fecha Nac. Delincuente]])/365)</f>
        <v>20</v>
      </c>
      <c r="L803" s="7" t="str">
        <f>_xlfn.XLOOKUP(crimenes_cordoba_ampliado[[#This Row],[EDAD DELINCUENTE]],'Rango etareo'!$A$10:$A$25,'Rango etareo'!$B$10:$B$25,,-1)</f>
        <v>18 - 25</v>
      </c>
      <c r="M803" s="3" t="s">
        <v>22</v>
      </c>
      <c r="N803" s="3" t="str">
        <f>IF(crimenes_cordoba_ampliado[[#This Row],[Género Delincuente]]="Femenino","🚺","🚹")</f>
        <v>🚹</v>
      </c>
      <c r="O803">
        <v>5</v>
      </c>
      <c r="P803" s="1">
        <v>33383</v>
      </c>
      <c r="Q803" s="7">
        <f>INT((crimenes_cordoba_ampliado[[#This Row],[Fecha]]-crimenes_cordoba_ampliado[[#This Row],[Fecha Nac. Víctima]])/365)</f>
        <v>31</v>
      </c>
      <c r="R803" s="7" t="str">
        <f>_xlfn.XLOOKUP(crimenes_cordoba_ampliado[[#This Row],[EDAD VICTIMA]],'Rango etareo'!$A$2:$A$25,'Rango etareo'!$B$2:$B$25,,-1)</f>
        <v>26 - 35</v>
      </c>
      <c r="S803" s="3" t="s">
        <v>22</v>
      </c>
      <c r="T803" s="3" t="str">
        <f>IF(crimenes_cordoba_ampliado[[#This Row],[Género Víctima]]="Masculino","🚹","🚺")</f>
        <v>🚹</v>
      </c>
      <c r="U803">
        <v>1</v>
      </c>
      <c r="V803" s="3" t="s">
        <v>25</v>
      </c>
      <c r="W803" s="3" t="s">
        <v>24</v>
      </c>
      <c r="X803" s="3" t="s">
        <v>24</v>
      </c>
      <c r="Y803" s="3" t="s">
        <v>133</v>
      </c>
      <c r="Z803" s="3" t="s">
        <v>23</v>
      </c>
      <c r="AA803" s="3" t="s">
        <v>25</v>
      </c>
      <c r="AB803" s="3" t="str">
        <f>IF(crimenes_cordoba_ampliado[[#This Row],[Hubo Arresto]]="Sí", "Resuelto", "Pendiente")</f>
        <v>Pendiente</v>
      </c>
      <c r="AC803" s="3" t="s">
        <v>24</v>
      </c>
      <c r="AD803" s="3"/>
    </row>
    <row r="804" spans="1:30" x14ac:dyDescent="0.25">
      <c r="A804">
        <v>618</v>
      </c>
      <c r="B804" s="1">
        <v>45012</v>
      </c>
      <c r="C804" s="33">
        <f t="shared" si="24"/>
        <v>45012</v>
      </c>
      <c r="D804" s="34">
        <f t="shared" si="25"/>
        <v>45012</v>
      </c>
      <c r="E804" s="35" t="s">
        <v>1452</v>
      </c>
      <c r="F804" s="2">
        <v>0.84722222222222221</v>
      </c>
      <c r="G804" s="3" t="s">
        <v>79</v>
      </c>
      <c r="H804" s="3" t="s">
        <v>20</v>
      </c>
      <c r="I804" s="25" t="str">
        <f>VLOOKUP(H804,Tabla5[#All],4,FALSE)</f>
        <v>-31,4800162965848, -64,2094200976892</v>
      </c>
      <c r="J804" s="1">
        <v>20814</v>
      </c>
      <c r="K804" s="7">
        <f>INT((crimenes_cordoba_ampliado[[#This Row],[Fecha]]-crimenes_cordoba_ampliado[[#This Row],[Fecha Nac. Delincuente]])/365)</f>
        <v>66</v>
      </c>
      <c r="L804" s="7" t="str">
        <f>_xlfn.XLOOKUP(crimenes_cordoba_ampliado[[#This Row],[EDAD DELINCUENTE]],'Rango etareo'!$A$10:$A$25,'Rango etareo'!$B$10:$B$25,,-1)</f>
        <v>&gt;65</v>
      </c>
      <c r="M804" s="3" t="s">
        <v>22</v>
      </c>
      <c r="N804" s="3" t="str">
        <f>IF(crimenes_cordoba_ampliado[[#This Row],[Género Delincuente]]="Femenino","🚺","🚹")</f>
        <v>🚹</v>
      </c>
      <c r="O804">
        <v>3</v>
      </c>
      <c r="P804" s="1">
        <v>16400</v>
      </c>
      <c r="Q804" s="7">
        <f>INT((crimenes_cordoba_ampliado[[#This Row],[Fecha]]-crimenes_cordoba_ampliado[[#This Row],[Fecha Nac. Víctima]])/365)</f>
        <v>78</v>
      </c>
      <c r="R804" s="7" t="str">
        <f>_xlfn.XLOOKUP(crimenes_cordoba_ampliado[[#This Row],[EDAD VICTIMA]],'Rango etareo'!$A$2:$A$25,'Rango etareo'!$B$2:$B$25,,-1)</f>
        <v>&gt;65</v>
      </c>
      <c r="S804" s="3" t="s">
        <v>21</v>
      </c>
      <c r="T804" s="3" t="str">
        <f>IF(crimenes_cordoba_ampliado[[#This Row],[Género Víctima]]="Masculino","🚹","🚺")</f>
        <v>🚺</v>
      </c>
      <c r="U804">
        <v>1</v>
      </c>
      <c r="V804" s="3" t="s">
        <v>25</v>
      </c>
      <c r="W804" s="3" t="s">
        <v>24</v>
      </c>
      <c r="X804" s="3" t="s">
        <v>24</v>
      </c>
      <c r="Y804" s="3" t="s">
        <v>98</v>
      </c>
      <c r="Z804" s="3" t="s">
        <v>25</v>
      </c>
      <c r="AA804" s="3" t="s">
        <v>25</v>
      </c>
      <c r="AB804" s="3" t="str">
        <f>IF(crimenes_cordoba_ampliado[[#This Row],[Hubo Arresto]]="Sí", "Resuelto", "Pendiente")</f>
        <v>Pendiente</v>
      </c>
      <c r="AC804" s="3" t="s">
        <v>24</v>
      </c>
      <c r="AD804" s="3"/>
    </row>
    <row r="805" spans="1:30" x14ac:dyDescent="0.25">
      <c r="A805">
        <v>705</v>
      </c>
      <c r="B805" s="1">
        <v>45016</v>
      </c>
      <c r="C805" s="33">
        <f t="shared" si="24"/>
        <v>45016</v>
      </c>
      <c r="D805" s="34">
        <f t="shared" si="25"/>
        <v>45016</v>
      </c>
      <c r="E805" s="35" t="s">
        <v>1455</v>
      </c>
      <c r="F805" s="2">
        <v>1.3888888888888889E-3</v>
      </c>
      <c r="G805" s="3" t="s">
        <v>35</v>
      </c>
      <c r="H805" s="3" t="s">
        <v>70</v>
      </c>
      <c r="I805" s="25" t="str">
        <f>VLOOKUP(H805,Tabla5[#All],4,FALSE)</f>
        <v>-31,3759272890294, -64,2284587792478</v>
      </c>
      <c r="J805" s="1">
        <v>30063</v>
      </c>
      <c r="K805" s="7">
        <f>INT((crimenes_cordoba_ampliado[[#This Row],[Fecha]]-crimenes_cordoba_ampliado[[#This Row],[Fecha Nac. Delincuente]])/365)</f>
        <v>40</v>
      </c>
      <c r="L805" s="7" t="str">
        <f>_xlfn.XLOOKUP(crimenes_cordoba_ampliado[[#This Row],[EDAD DELINCUENTE]],'Rango etareo'!$A$10:$A$25,'Rango etareo'!$B$10:$B$25,,-1)</f>
        <v>36 - 45</v>
      </c>
      <c r="M805" s="3" t="s">
        <v>21</v>
      </c>
      <c r="N805" s="3" t="str">
        <f>IF(crimenes_cordoba_ampliado[[#This Row],[Género Delincuente]]="Femenino","🚺","🚹")</f>
        <v>🚺</v>
      </c>
      <c r="O805">
        <v>3</v>
      </c>
      <c r="P805" s="1">
        <v>17116</v>
      </c>
      <c r="Q805" s="7">
        <f>INT((crimenes_cordoba_ampliado[[#This Row],[Fecha]]-crimenes_cordoba_ampliado[[#This Row],[Fecha Nac. Víctima]])/365)</f>
        <v>76</v>
      </c>
      <c r="R805" s="7" t="str">
        <f>_xlfn.XLOOKUP(crimenes_cordoba_ampliado[[#This Row],[EDAD VICTIMA]],'Rango etareo'!$A$2:$A$25,'Rango etareo'!$B$2:$B$25,,-1)</f>
        <v>&gt;65</v>
      </c>
      <c r="S805" s="3" t="s">
        <v>21</v>
      </c>
      <c r="T805" s="3" t="str">
        <f>IF(crimenes_cordoba_ampliado[[#This Row],[Género Víctima]]="Masculino","🚹","🚺")</f>
        <v>🚺</v>
      </c>
      <c r="U805">
        <v>3</v>
      </c>
      <c r="V805" s="3" t="s">
        <v>25</v>
      </c>
      <c r="W805" s="3" t="s">
        <v>24</v>
      </c>
      <c r="X805" s="3" t="s">
        <v>24</v>
      </c>
      <c r="Y805" s="3" t="s">
        <v>46</v>
      </c>
      <c r="Z805" s="3" t="s">
        <v>25</v>
      </c>
      <c r="AA805" s="3" t="s">
        <v>25</v>
      </c>
      <c r="AB805" s="3" t="str">
        <f>IF(crimenes_cordoba_ampliado[[#This Row],[Hubo Arresto]]="Sí", "Resuelto", "Pendiente")</f>
        <v>Pendiente</v>
      </c>
      <c r="AC805" s="3" t="s">
        <v>24</v>
      </c>
      <c r="AD805" s="3"/>
    </row>
    <row r="806" spans="1:30" x14ac:dyDescent="0.25">
      <c r="A806">
        <v>79</v>
      </c>
      <c r="B806" s="1">
        <v>45018</v>
      </c>
      <c r="C806" s="33">
        <f t="shared" si="24"/>
        <v>45018</v>
      </c>
      <c r="D806" s="34">
        <f t="shared" si="25"/>
        <v>45018</v>
      </c>
      <c r="E806" s="35" t="s">
        <v>1449</v>
      </c>
      <c r="F806" s="2">
        <v>0.76041666666666663</v>
      </c>
      <c r="G806" s="3" t="s">
        <v>45</v>
      </c>
      <c r="H806" s="3" t="s">
        <v>60</v>
      </c>
      <c r="I806" s="25" t="str">
        <f>VLOOKUP(H806,Tabla5[#All],4,FALSE)</f>
        <v>-31,4076397196409, -64,2020170430678</v>
      </c>
      <c r="J806" s="1">
        <v>37433</v>
      </c>
      <c r="K806" s="7">
        <f>INT((crimenes_cordoba_ampliado[[#This Row],[Fecha]]-crimenes_cordoba_ampliado[[#This Row],[Fecha Nac. Delincuente]])/365)</f>
        <v>20</v>
      </c>
      <c r="L806" s="7" t="str">
        <f>_xlfn.XLOOKUP(crimenes_cordoba_ampliado[[#This Row],[EDAD DELINCUENTE]],'Rango etareo'!$A$10:$A$25,'Rango etareo'!$B$10:$B$25,,-1)</f>
        <v>18 - 25</v>
      </c>
      <c r="M806" s="3" t="s">
        <v>21</v>
      </c>
      <c r="N806" s="3" t="str">
        <f>IF(crimenes_cordoba_ampliado[[#This Row],[Género Delincuente]]="Femenino","🚺","🚹")</f>
        <v>🚺</v>
      </c>
      <c r="O806">
        <v>4</v>
      </c>
      <c r="P806" s="1">
        <v>31362</v>
      </c>
      <c r="Q806" s="7">
        <f>INT((crimenes_cordoba_ampliado[[#This Row],[Fecha]]-crimenes_cordoba_ampliado[[#This Row],[Fecha Nac. Víctima]])/365)</f>
        <v>37</v>
      </c>
      <c r="R806" s="7" t="str">
        <f>_xlfn.XLOOKUP(crimenes_cordoba_ampliado[[#This Row],[EDAD VICTIMA]],'Rango etareo'!$A$2:$A$25,'Rango etareo'!$B$2:$B$25,,-1)</f>
        <v>36 - 45</v>
      </c>
      <c r="S806" s="3" t="s">
        <v>21</v>
      </c>
      <c r="T806" s="3" t="str">
        <f>IF(crimenes_cordoba_ampliado[[#This Row],[Género Víctima]]="Masculino","🚹","🚺")</f>
        <v>🚺</v>
      </c>
      <c r="U806">
        <v>3</v>
      </c>
      <c r="V806" s="3" t="s">
        <v>25</v>
      </c>
      <c r="W806" s="3" t="s">
        <v>24</v>
      </c>
      <c r="X806" s="3" t="s">
        <v>24</v>
      </c>
      <c r="Y806" s="3" t="s">
        <v>113</v>
      </c>
      <c r="Z806" s="3" t="s">
        <v>25</v>
      </c>
      <c r="AA806" s="3" t="s">
        <v>23</v>
      </c>
      <c r="AB806" s="3" t="str">
        <f>IF(crimenes_cordoba_ampliado[[#This Row],[Hubo Arresto]]="Sí", "Resuelto", "Pendiente")</f>
        <v>Pendiente</v>
      </c>
      <c r="AC806" s="3" t="s">
        <v>24</v>
      </c>
      <c r="AD806" s="3"/>
    </row>
    <row r="807" spans="1:30" x14ac:dyDescent="0.25">
      <c r="A807">
        <v>799</v>
      </c>
      <c r="B807" s="1">
        <v>43372</v>
      </c>
      <c r="C807" s="33">
        <f t="shared" si="24"/>
        <v>43372</v>
      </c>
      <c r="D807" s="34">
        <f t="shared" si="25"/>
        <v>43372</v>
      </c>
      <c r="E807" s="35" t="s">
        <v>1451</v>
      </c>
      <c r="F807" s="2">
        <v>0.86388888888888893</v>
      </c>
      <c r="G807" s="3" t="s">
        <v>48</v>
      </c>
      <c r="H807" s="3" t="s">
        <v>32</v>
      </c>
      <c r="I807" s="25" t="str">
        <f>VLOOKUP(H807,Tabla5[#All],4,FALSE)</f>
        <v>-31,4148488101991, -64,1793406489438</v>
      </c>
      <c r="J807" s="1">
        <v>24290</v>
      </c>
      <c r="K807" s="7">
        <f>INT((crimenes_cordoba_ampliado[[#This Row],[Fecha]]-crimenes_cordoba_ampliado[[#This Row],[Fecha Nac. Delincuente]])/365)</f>
        <v>52</v>
      </c>
      <c r="L807" s="7" t="str">
        <f>_xlfn.XLOOKUP(crimenes_cordoba_ampliado[[#This Row],[EDAD DELINCUENTE]],'Rango etareo'!$A$10:$A$25,'Rango etareo'!$B$10:$B$25,,-1)</f>
        <v>46 - 55</v>
      </c>
      <c r="M807" s="3" t="s">
        <v>22</v>
      </c>
      <c r="N807" s="3" t="str">
        <f>IF(crimenes_cordoba_ampliado[[#This Row],[Género Delincuente]]="Femenino","🚺","🚹")</f>
        <v>🚹</v>
      </c>
      <c r="O807">
        <v>5</v>
      </c>
      <c r="P807" s="1">
        <v>33979</v>
      </c>
      <c r="Q807" s="7">
        <f>INT((crimenes_cordoba_ampliado[[#This Row],[Fecha]]-crimenes_cordoba_ampliado[[#This Row],[Fecha Nac. Víctima]])/365)</f>
        <v>25</v>
      </c>
      <c r="R807" s="7" t="str">
        <f>_xlfn.XLOOKUP(crimenes_cordoba_ampliado[[#This Row],[EDAD VICTIMA]],'Rango etareo'!$A$2:$A$25,'Rango etareo'!$B$2:$B$25,,-1)</f>
        <v>18 - 25</v>
      </c>
      <c r="S807" s="3" t="s">
        <v>22</v>
      </c>
      <c r="T807" s="3" t="str">
        <f>IF(crimenes_cordoba_ampliado[[#This Row],[Género Víctima]]="Masculino","🚹","🚺")</f>
        <v>🚹</v>
      </c>
      <c r="U807">
        <v>2</v>
      </c>
      <c r="V807" s="3" t="s">
        <v>23</v>
      </c>
      <c r="W807" s="3" t="s">
        <v>63</v>
      </c>
      <c r="X807" s="3" t="s">
        <v>41</v>
      </c>
      <c r="Y807" s="3" t="s">
        <v>24</v>
      </c>
      <c r="Z807" s="3" t="s">
        <v>25</v>
      </c>
      <c r="AA807" s="3" t="s">
        <v>25</v>
      </c>
      <c r="AB807" s="3" t="str">
        <f>IF(crimenes_cordoba_ampliado[[#This Row],[Hubo Arresto]]="Sí", "Resuelto", "Pendiente")</f>
        <v>Resuelto</v>
      </c>
      <c r="AC807" s="3" t="s">
        <v>218</v>
      </c>
      <c r="AD807" s="3"/>
    </row>
    <row r="808" spans="1:30" x14ac:dyDescent="0.25">
      <c r="A808">
        <v>740</v>
      </c>
      <c r="B808" s="1">
        <v>45026</v>
      </c>
      <c r="C808" s="33">
        <f t="shared" si="24"/>
        <v>45026</v>
      </c>
      <c r="D808" s="34">
        <f t="shared" si="25"/>
        <v>45026</v>
      </c>
      <c r="E808" s="35" t="s">
        <v>1452</v>
      </c>
      <c r="F808" s="2">
        <v>0.625</v>
      </c>
      <c r="G808" s="3" t="s">
        <v>51</v>
      </c>
      <c r="H808" s="3" t="s">
        <v>32</v>
      </c>
      <c r="I808" s="25" t="str">
        <f>VLOOKUP(H808,Tabla5[#All],4,FALSE)</f>
        <v>-31,4148488101991, -64,1793406489438</v>
      </c>
      <c r="J808" s="1">
        <v>22091</v>
      </c>
      <c r="K808" s="7">
        <f>INT((crimenes_cordoba_ampliado[[#This Row],[Fecha]]-crimenes_cordoba_ampliado[[#This Row],[Fecha Nac. Delincuente]])/365)</f>
        <v>62</v>
      </c>
      <c r="L808" s="7" t="str">
        <f>_xlfn.XLOOKUP(crimenes_cordoba_ampliado[[#This Row],[EDAD DELINCUENTE]],'Rango etareo'!$A$10:$A$25,'Rango etareo'!$B$10:$B$25,,-1)</f>
        <v>56 - 65</v>
      </c>
      <c r="M808" s="3" t="s">
        <v>22</v>
      </c>
      <c r="N808" s="3" t="str">
        <f>IF(crimenes_cordoba_ampliado[[#This Row],[Género Delincuente]]="Femenino","🚺","🚹")</f>
        <v>🚹</v>
      </c>
      <c r="O808">
        <v>5</v>
      </c>
      <c r="P808" s="1">
        <v>16591</v>
      </c>
      <c r="Q808" s="7">
        <f>INT((crimenes_cordoba_ampliado[[#This Row],[Fecha]]-crimenes_cordoba_ampliado[[#This Row],[Fecha Nac. Víctima]])/365)</f>
        <v>77</v>
      </c>
      <c r="R808" s="7" t="str">
        <f>_xlfn.XLOOKUP(crimenes_cordoba_ampliado[[#This Row],[EDAD VICTIMA]],'Rango etareo'!$A$2:$A$25,'Rango etareo'!$B$2:$B$25,,-1)</f>
        <v>&gt;65</v>
      </c>
      <c r="S808" s="3" t="s">
        <v>21</v>
      </c>
      <c r="T808" s="3" t="str">
        <f>IF(crimenes_cordoba_ampliado[[#This Row],[Género Víctima]]="Masculino","🚹","🚺")</f>
        <v>🚺</v>
      </c>
      <c r="U808">
        <v>3</v>
      </c>
      <c r="V808" s="3" t="s">
        <v>25</v>
      </c>
      <c r="W808" s="3" t="s">
        <v>24</v>
      </c>
      <c r="X808" s="3" t="s">
        <v>50</v>
      </c>
      <c r="Y808" s="3" t="s">
        <v>24</v>
      </c>
      <c r="Z808" s="3" t="s">
        <v>23</v>
      </c>
      <c r="AA808" s="3" t="s">
        <v>25</v>
      </c>
      <c r="AB808" s="3" t="str">
        <f>IF(crimenes_cordoba_ampliado[[#This Row],[Hubo Arresto]]="Sí", "Resuelto", "Pendiente")</f>
        <v>Pendiente</v>
      </c>
      <c r="AC808" s="3" t="s">
        <v>24</v>
      </c>
      <c r="AD808" s="3"/>
    </row>
    <row r="809" spans="1:30" x14ac:dyDescent="0.25">
      <c r="A809">
        <v>800</v>
      </c>
      <c r="B809" s="1">
        <v>42798</v>
      </c>
      <c r="C809" s="33">
        <f t="shared" si="24"/>
        <v>42798</v>
      </c>
      <c r="D809" s="34">
        <f t="shared" si="25"/>
        <v>42798</v>
      </c>
      <c r="E809" s="35" t="s">
        <v>1451</v>
      </c>
      <c r="F809" s="2">
        <v>0.75347222222222221</v>
      </c>
      <c r="G809" s="3" t="s">
        <v>79</v>
      </c>
      <c r="H809" s="3" t="s">
        <v>20</v>
      </c>
      <c r="I809" s="25" t="str">
        <f>VLOOKUP(H809,Tabla5[#All],4,FALSE)</f>
        <v>-31,4800162965848, -64,2094200976892</v>
      </c>
      <c r="J809" s="1">
        <v>38333</v>
      </c>
      <c r="K809" s="7">
        <f>INT((crimenes_cordoba_ampliado[[#This Row],[Fecha]]-crimenes_cordoba_ampliado[[#This Row],[Fecha Nac. Delincuente]])/365)</f>
        <v>12</v>
      </c>
      <c r="L809" s="7" t="str">
        <f>_xlfn.XLOOKUP(crimenes_cordoba_ampliado[[#This Row],[EDAD DELINCUENTE]],'Rango etareo'!$A$10:$A$25,'Rango etareo'!$B$10:$B$25,,-1)</f>
        <v>&lt;=17</v>
      </c>
      <c r="M809" s="3" t="s">
        <v>21</v>
      </c>
      <c r="N809" s="3" t="str">
        <f>IF(crimenes_cordoba_ampliado[[#This Row],[Género Delincuente]]="Femenino","🚺","🚹")</f>
        <v>🚺</v>
      </c>
      <c r="O809">
        <v>4</v>
      </c>
      <c r="P809" s="1">
        <v>29512</v>
      </c>
      <c r="Q809" s="7">
        <f>INT((crimenes_cordoba_ampliado[[#This Row],[Fecha]]-crimenes_cordoba_ampliado[[#This Row],[Fecha Nac. Víctima]])/365)</f>
        <v>36</v>
      </c>
      <c r="R809" s="7" t="str">
        <f>_xlfn.XLOOKUP(crimenes_cordoba_ampliado[[#This Row],[EDAD VICTIMA]],'Rango etareo'!$A$2:$A$25,'Rango etareo'!$B$2:$B$25,,-1)</f>
        <v>36 - 45</v>
      </c>
      <c r="S809" s="3" t="s">
        <v>22</v>
      </c>
      <c r="T809" s="3" t="str">
        <f>IF(crimenes_cordoba_ampliado[[#This Row],[Género Víctima]]="Masculino","🚹","🚺")</f>
        <v>🚹</v>
      </c>
      <c r="U809">
        <v>3</v>
      </c>
      <c r="V809" s="3" t="s">
        <v>23</v>
      </c>
      <c r="W809" s="3" t="s">
        <v>24</v>
      </c>
      <c r="X809" s="3" t="s">
        <v>24</v>
      </c>
      <c r="Y809" s="3" t="s">
        <v>133</v>
      </c>
      <c r="Z809" s="3" t="s">
        <v>25</v>
      </c>
      <c r="AA809" s="3" t="s">
        <v>23</v>
      </c>
      <c r="AB809" s="3" t="str">
        <f>IF(crimenes_cordoba_ampliado[[#This Row],[Hubo Arresto]]="Sí", "Resuelto", "Pendiente")</f>
        <v>Resuelto</v>
      </c>
      <c r="AC809" s="3" t="s">
        <v>306</v>
      </c>
      <c r="AD809" s="3"/>
    </row>
    <row r="810" spans="1:30" x14ac:dyDescent="0.25">
      <c r="A810">
        <v>812</v>
      </c>
      <c r="B810" s="1">
        <v>45043</v>
      </c>
      <c r="C810" s="33">
        <f t="shared" si="24"/>
        <v>45043</v>
      </c>
      <c r="D810" s="34">
        <f t="shared" si="25"/>
        <v>45043</v>
      </c>
      <c r="E810" s="35" t="s">
        <v>1454</v>
      </c>
      <c r="F810" s="2">
        <v>0.75347222222222221</v>
      </c>
      <c r="G810" s="3" t="s">
        <v>45</v>
      </c>
      <c r="H810" s="3" t="s">
        <v>60</v>
      </c>
      <c r="I810" s="25" t="str">
        <f>VLOOKUP(H810,Tabla5[#All],4,FALSE)</f>
        <v>-31,4076397196409, -64,2020170430678</v>
      </c>
      <c r="J810" s="1">
        <v>37135</v>
      </c>
      <c r="K810" s="7">
        <f>INT((crimenes_cordoba_ampliado[[#This Row],[Fecha]]-crimenes_cordoba_ampliado[[#This Row],[Fecha Nac. Delincuente]])/365)</f>
        <v>21</v>
      </c>
      <c r="L810" s="7" t="str">
        <f>_xlfn.XLOOKUP(crimenes_cordoba_ampliado[[#This Row],[EDAD DELINCUENTE]],'Rango etareo'!$A$10:$A$25,'Rango etareo'!$B$10:$B$25,,-1)</f>
        <v>18 - 25</v>
      </c>
      <c r="M810" s="3" t="s">
        <v>22</v>
      </c>
      <c r="N810" s="3" t="str">
        <f>IF(crimenes_cordoba_ampliado[[#This Row],[Género Delincuente]]="Femenino","🚺","🚹")</f>
        <v>🚹</v>
      </c>
      <c r="O810">
        <v>2</v>
      </c>
      <c r="P810" s="1">
        <v>33825</v>
      </c>
      <c r="Q810" s="7">
        <f>INT((crimenes_cordoba_ampliado[[#This Row],[Fecha]]-crimenes_cordoba_ampliado[[#This Row],[Fecha Nac. Víctima]])/365)</f>
        <v>30</v>
      </c>
      <c r="R810" s="7" t="str">
        <f>_xlfn.XLOOKUP(crimenes_cordoba_ampliado[[#This Row],[EDAD VICTIMA]],'Rango etareo'!$A$2:$A$25,'Rango etareo'!$B$2:$B$25,,-1)</f>
        <v>26 - 35</v>
      </c>
      <c r="S810" s="3" t="s">
        <v>22</v>
      </c>
      <c r="T810" s="3" t="str">
        <f>IF(crimenes_cordoba_ampliado[[#This Row],[Género Víctima]]="Masculino","🚹","🚺")</f>
        <v>🚹</v>
      </c>
      <c r="U810">
        <v>2</v>
      </c>
      <c r="V810" s="3" t="s">
        <v>25</v>
      </c>
      <c r="W810" s="3" t="s">
        <v>71</v>
      </c>
      <c r="X810" s="3" t="s">
        <v>24</v>
      </c>
      <c r="Y810" s="3" t="s">
        <v>77</v>
      </c>
      <c r="Z810" s="3" t="s">
        <v>23</v>
      </c>
      <c r="AA810" s="3" t="s">
        <v>23</v>
      </c>
      <c r="AB810" s="3" t="str">
        <f>IF(crimenes_cordoba_ampliado[[#This Row],[Hubo Arresto]]="Sí", "Resuelto", "Pendiente")</f>
        <v>Pendiente</v>
      </c>
      <c r="AC810" s="3" t="s">
        <v>24</v>
      </c>
      <c r="AD810" s="3"/>
    </row>
    <row r="811" spans="1:30" x14ac:dyDescent="0.25">
      <c r="A811">
        <v>805</v>
      </c>
      <c r="B811" s="1">
        <v>44144</v>
      </c>
      <c r="C811" s="33">
        <f t="shared" si="24"/>
        <v>44144</v>
      </c>
      <c r="D811" s="34">
        <f t="shared" si="25"/>
        <v>44144</v>
      </c>
      <c r="E811" s="35" t="s">
        <v>1452</v>
      </c>
      <c r="F811" s="2">
        <v>1.3888888888888888E-2</v>
      </c>
      <c r="G811" s="3" t="s">
        <v>31</v>
      </c>
      <c r="H811" s="3" t="s">
        <v>58</v>
      </c>
      <c r="I811" s="25" t="str">
        <f>VLOOKUP(H811,Tabla5[#All],4,FALSE)</f>
        <v>-31,423018915313, -64,1493562190664</v>
      </c>
      <c r="J811" s="1">
        <v>22166</v>
      </c>
      <c r="K811" s="7">
        <f>INT((crimenes_cordoba_ampliado[[#This Row],[Fecha]]-crimenes_cordoba_ampliado[[#This Row],[Fecha Nac. Delincuente]])/365)</f>
        <v>60</v>
      </c>
      <c r="L811" s="7" t="str">
        <f>_xlfn.XLOOKUP(crimenes_cordoba_ampliado[[#This Row],[EDAD DELINCUENTE]],'Rango etareo'!$A$10:$A$25,'Rango etareo'!$B$10:$B$25,,-1)</f>
        <v>56 - 65</v>
      </c>
      <c r="M811" s="3" t="s">
        <v>22</v>
      </c>
      <c r="N811" s="3" t="str">
        <f>IF(crimenes_cordoba_ampliado[[#This Row],[Género Delincuente]]="Femenino","🚺","🚹")</f>
        <v>🚹</v>
      </c>
      <c r="O811">
        <v>5</v>
      </c>
      <c r="P811" s="1">
        <v>21929</v>
      </c>
      <c r="Q811" s="7">
        <f>INT((crimenes_cordoba_ampliado[[#This Row],[Fecha]]-crimenes_cordoba_ampliado[[#This Row],[Fecha Nac. Víctima]])/365)</f>
        <v>60</v>
      </c>
      <c r="R811" s="7" t="str">
        <f>_xlfn.XLOOKUP(crimenes_cordoba_ampliado[[#This Row],[EDAD VICTIMA]],'Rango etareo'!$A$2:$A$25,'Rango etareo'!$B$2:$B$25,,-1)</f>
        <v>56 - 65</v>
      </c>
      <c r="S811" s="3" t="s">
        <v>21</v>
      </c>
      <c r="T811" s="3" t="str">
        <f>IF(crimenes_cordoba_ampliado[[#This Row],[Género Víctima]]="Masculino","🚹","🚺")</f>
        <v>🚺</v>
      </c>
      <c r="U811">
        <v>1</v>
      </c>
      <c r="V811" s="3" t="s">
        <v>23</v>
      </c>
      <c r="W811" s="3" t="s">
        <v>24</v>
      </c>
      <c r="X811" s="3" t="s">
        <v>67</v>
      </c>
      <c r="Y811" s="3" t="s">
        <v>24</v>
      </c>
      <c r="Z811" s="3" t="s">
        <v>25</v>
      </c>
      <c r="AA811" s="3" t="s">
        <v>25</v>
      </c>
      <c r="AB811" s="3" t="str">
        <f>IF(crimenes_cordoba_ampliado[[#This Row],[Hubo Arresto]]="Sí", "Resuelto", "Pendiente")</f>
        <v>Resuelto</v>
      </c>
      <c r="AC811" s="3" t="s">
        <v>200</v>
      </c>
      <c r="AD811" s="3"/>
    </row>
    <row r="812" spans="1:30" x14ac:dyDescent="0.25">
      <c r="A812">
        <v>810</v>
      </c>
      <c r="B812" s="1">
        <v>44925</v>
      </c>
      <c r="C812" s="33">
        <f t="shared" si="24"/>
        <v>44925</v>
      </c>
      <c r="D812" s="34">
        <f t="shared" si="25"/>
        <v>44925</v>
      </c>
      <c r="E812" s="35" t="s">
        <v>1455</v>
      </c>
      <c r="F812" s="2">
        <v>0.24513888888888888</v>
      </c>
      <c r="G812" s="3" t="s">
        <v>81</v>
      </c>
      <c r="H812" s="3" t="s">
        <v>40</v>
      </c>
      <c r="I812" s="25" t="str">
        <f>VLOOKUP(H812,Tabla5[#All],4,FALSE)</f>
        <v>-31,334500143441, -64,2460773260564</v>
      </c>
      <c r="J812" s="1">
        <v>23430</v>
      </c>
      <c r="K812" s="7">
        <f>INT((crimenes_cordoba_ampliado[[#This Row],[Fecha]]-crimenes_cordoba_ampliado[[#This Row],[Fecha Nac. Delincuente]])/365)</f>
        <v>58</v>
      </c>
      <c r="L812" s="7" t="str">
        <f>_xlfn.XLOOKUP(crimenes_cordoba_ampliado[[#This Row],[EDAD DELINCUENTE]],'Rango etareo'!$A$10:$A$25,'Rango etareo'!$B$10:$B$25,,-1)</f>
        <v>56 - 65</v>
      </c>
      <c r="M812" s="3" t="s">
        <v>21</v>
      </c>
      <c r="N812" s="3" t="str">
        <f>IF(crimenes_cordoba_ampliado[[#This Row],[Género Delincuente]]="Femenino","🚺","🚹")</f>
        <v>🚺</v>
      </c>
      <c r="O812">
        <v>1</v>
      </c>
      <c r="P812" s="1">
        <v>33881</v>
      </c>
      <c r="Q812" s="7">
        <f>INT((crimenes_cordoba_ampliado[[#This Row],[Fecha]]-crimenes_cordoba_ampliado[[#This Row],[Fecha Nac. Víctima]])/365)</f>
        <v>30</v>
      </c>
      <c r="R812" s="7" t="str">
        <f>_xlfn.XLOOKUP(crimenes_cordoba_ampliado[[#This Row],[EDAD VICTIMA]],'Rango etareo'!$A$2:$A$25,'Rango etareo'!$B$2:$B$25,,-1)</f>
        <v>26 - 35</v>
      </c>
      <c r="S812" s="3" t="s">
        <v>22</v>
      </c>
      <c r="T812" s="3" t="str">
        <f>IF(crimenes_cordoba_ampliado[[#This Row],[Género Víctima]]="Masculino","🚹","🚺")</f>
        <v>🚹</v>
      </c>
      <c r="U812">
        <v>2</v>
      </c>
      <c r="V812" s="3" t="s">
        <v>23</v>
      </c>
      <c r="W812" s="3" t="s">
        <v>24</v>
      </c>
      <c r="X812" s="3" t="s">
        <v>24</v>
      </c>
      <c r="Y812" s="3" t="s">
        <v>24</v>
      </c>
      <c r="Z812" s="3" t="s">
        <v>25</v>
      </c>
      <c r="AA812" s="3" t="s">
        <v>25</v>
      </c>
      <c r="AB812" s="3" t="str">
        <f>IF(crimenes_cordoba_ampliado[[#This Row],[Hubo Arresto]]="Sí", "Resuelto", "Pendiente")</f>
        <v>Resuelto</v>
      </c>
      <c r="AC812" s="3" t="s">
        <v>102</v>
      </c>
      <c r="AD812" s="3"/>
    </row>
    <row r="813" spans="1:30" x14ac:dyDescent="0.25">
      <c r="A813">
        <v>89</v>
      </c>
      <c r="B813" s="1">
        <v>45061</v>
      </c>
      <c r="C813" s="33">
        <f t="shared" si="24"/>
        <v>45061</v>
      </c>
      <c r="D813" s="34">
        <f t="shared" si="25"/>
        <v>45061</v>
      </c>
      <c r="E813" s="35" t="s">
        <v>1452</v>
      </c>
      <c r="F813" s="2">
        <v>0.65069444444444446</v>
      </c>
      <c r="G813" s="3" t="s">
        <v>31</v>
      </c>
      <c r="H813" s="3" t="s">
        <v>40</v>
      </c>
      <c r="I813" s="25" t="str">
        <f>VLOOKUP(H813,Tabla5[#All],4,FALSE)</f>
        <v>-31,334500143441, -64,2460773260564</v>
      </c>
      <c r="J813" s="1">
        <v>29989</v>
      </c>
      <c r="K813" s="7">
        <f>INT((crimenes_cordoba_ampliado[[#This Row],[Fecha]]-crimenes_cordoba_ampliado[[#This Row],[Fecha Nac. Delincuente]])/365)</f>
        <v>41</v>
      </c>
      <c r="L813" s="7" t="str">
        <f>_xlfn.XLOOKUP(crimenes_cordoba_ampliado[[#This Row],[EDAD DELINCUENTE]],'Rango etareo'!$A$10:$A$25,'Rango etareo'!$B$10:$B$25,,-1)</f>
        <v>36 - 45</v>
      </c>
      <c r="M813" s="3" t="s">
        <v>22</v>
      </c>
      <c r="N813" s="3" t="str">
        <f>IF(crimenes_cordoba_ampliado[[#This Row],[Género Delincuente]]="Femenino","🚺","🚹")</f>
        <v>🚹</v>
      </c>
      <c r="O813">
        <v>5</v>
      </c>
      <c r="P813" s="1">
        <v>19378</v>
      </c>
      <c r="Q813" s="7">
        <f>INT((crimenes_cordoba_ampliado[[#This Row],[Fecha]]-crimenes_cordoba_ampliado[[#This Row],[Fecha Nac. Víctima]])/365)</f>
        <v>70</v>
      </c>
      <c r="R813" s="7" t="str">
        <f>_xlfn.XLOOKUP(crimenes_cordoba_ampliado[[#This Row],[EDAD VICTIMA]],'Rango etareo'!$A$2:$A$25,'Rango etareo'!$B$2:$B$25,,-1)</f>
        <v>&gt;65</v>
      </c>
      <c r="S813" s="3" t="s">
        <v>22</v>
      </c>
      <c r="T813" s="3" t="str">
        <f>IF(crimenes_cordoba_ampliado[[#This Row],[Género Víctima]]="Masculino","🚹","🚺")</f>
        <v>🚹</v>
      </c>
      <c r="U813">
        <v>2</v>
      </c>
      <c r="V813" s="3" t="s">
        <v>25</v>
      </c>
      <c r="W813" s="3" t="s">
        <v>24</v>
      </c>
      <c r="X813" s="3" t="s">
        <v>24</v>
      </c>
      <c r="Y813" s="3" t="s">
        <v>39</v>
      </c>
      <c r="Z813" s="3" t="s">
        <v>25</v>
      </c>
      <c r="AA813" s="3" t="s">
        <v>23</v>
      </c>
      <c r="AB813" s="3" t="str">
        <f>IF(crimenes_cordoba_ampliado[[#This Row],[Hubo Arresto]]="Sí", "Resuelto", "Pendiente")</f>
        <v>Pendiente</v>
      </c>
      <c r="AC813" s="3" t="s">
        <v>24</v>
      </c>
      <c r="AD813" s="3"/>
    </row>
    <row r="814" spans="1:30" x14ac:dyDescent="0.25">
      <c r="A814">
        <v>811</v>
      </c>
      <c r="B814" s="1">
        <v>42395</v>
      </c>
      <c r="C814" s="33">
        <f t="shared" si="24"/>
        <v>42395</v>
      </c>
      <c r="D814" s="34">
        <f t="shared" si="25"/>
        <v>42395</v>
      </c>
      <c r="E814" s="35" t="s">
        <v>1453</v>
      </c>
      <c r="F814" s="2">
        <v>0.36319444444444443</v>
      </c>
      <c r="G814" s="3" t="s">
        <v>35</v>
      </c>
      <c r="H814" s="3" t="s">
        <v>60</v>
      </c>
      <c r="I814" s="25" t="str">
        <f>VLOOKUP(H814,Tabla5[#All],4,FALSE)</f>
        <v>-31,4076397196409, -64,2020170430678</v>
      </c>
      <c r="J814" s="1">
        <v>27799</v>
      </c>
      <c r="K814" s="7">
        <f>INT((crimenes_cordoba_ampliado[[#This Row],[Fecha]]-crimenes_cordoba_ampliado[[#This Row],[Fecha Nac. Delincuente]])/365)</f>
        <v>39</v>
      </c>
      <c r="L814" s="7" t="str">
        <f>_xlfn.XLOOKUP(crimenes_cordoba_ampliado[[#This Row],[EDAD DELINCUENTE]],'Rango etareo'!$A$10:$A$25,'Rango etareo'!$B$10:$B$25,,-1)</f>
        <v>36 - 45</v>
      </c>
      <c r="M814" s="3" t="s">
        <v>22</v>
      </c>
      <c r="N814" s="3" t="str">
        <f>IF(crimenes_cordoba_ampliado[[#This Row],[Género Delincuente]]="Femenino","🚺","🚹")</f>
        <v>🚹</v>
      </c>
      <c r="O814">
        <v>5</v>
      </c>
      <c r="P814" s="1">
        <v>29656</v>
      </c>
      <c r="Q814" s="7">
        <f>INT((crimenes_cordoba_ampliado[[#This Row],[Fecha]]-crimenes_cordoba_ampliado[[#This Row],[Fecha Nac. Víctima]])/365)</f>
        <v>34</v>
      </c>
      <c r="R814" s="7" t="str">
        <f>_xlfn.XLOOKUP(crimenes_cordoba_ampliado[[#This Row],[EDAD VICTIMA]],'Rango etareo'!$A$2:$A$25,'Rango etareo'!$B$2:$B$25,,-1)</f>
        <v>26 - 35</v>
      </c>
      <c r="S814" s="3" t="s">
        <v>22</v>
      </c>
      <c r="T814" s="3" t="str">
        <f>IF(crimenes_cordoba_ampliado[[#This Row],[Género Víctima]]="Masculino","🚹","🚺")</f>
        <v>🚹</v>
      </c>
      <c r="U814">
        <v>2</v>
      </c>
      <c r="V814" s="3" t="s">
        <v>23</v>
      </c>
      <c r="W814" s="3" t="s">
        <v>24</v>
      </c>
      <c r="X814" s="3" t="s">
        <v>24</v>
      </c>
      <c r="Y814" s="3" t="s">
        <v>106</v>
      </c>
      <c r="Z814" s="3" t="s">
        <v>25</v>
      </c>
      <c r="AA814" s="3" t="s">
        <v>25</v>
      </c>
      <c r="AB814" s="3" t="str">
        <f>IF(crimenes_cordoba_ampliado[[#This Row],[Hubo Arresto]]="Sí", "Resuelto", "Pendiente")</f>
        <v>Resuelto</v>
      </c>
      <c r="AC814" s="3" t="s">
        <v>156</v>
      </c>
      <c r="AD814" s="3"/>
    </row>
    <row r="815" spans="1:30" x14ac:dyDescent="0.25">
      <c r="A815">
        <v>131</v>
      </c>
      <c r="B815" s="1">
        <v>45064</v>
      </c>
      <c r="C815" s="33">
        <f t="shared" si="24"/>
        <v>45064</v>
      </c>
      <c r="D815" s="34">
        <f t="shared" si="25"/>
        <v>45064</v>
      </c>
      <c r="E815" s="35" t="s">
        <v>1454</v>
      </c>
      <c r="F815" s="2">
        <v>0.5</v>
      </c>
      <c r="G815" s="3" t="s">
        <v>35</v>
      </c>
      <c r="H815" s="3" t="s">
        <v>52</v>
      </c>
      <c r="I815" s="25" t="str">
        <f>VLOOKUP(H815,Tabla5[#All],4,FALSE)</f>
        <v>-31,3477902896523, -64,2644406169297</v>
      </c>
      <c r="J815" s="1">
        <v>22414</v>
      </c>
      <c r="K815" s="7">
        <f>INT((crimenes_cordoba_ampliado[[#This Row],[Fecha]]-crimenes_cordoba_ampliado[[#This Row],[Fecha Nac. Delincuente]])/365)</f>
        <v>62</v>
      </c>
      <c r="L815" s="7" t="str">
        <f>_xlfn.XLOOKUP(crimenes_cordoba_ampliado[[#This Row],[EDAD DELINCUENTE]],'Rango etareo'!$A$10:$A$25,'Rango etareo'!$B$10:$B$25,,-1)</f>
        <v>56 - 65</v>
      </c>
      <c r="M815" s="3" t="s">
        <v>21</v>
      </c>
      <c r="N815" s="3" t="str">
        <f>IF(crimenes_cordoba_ampliado[[#This Row],[Género Delincuente]]="Femenino","🚺","🚹")</f>
        <v>🚺</v>
      </c>
      <c r="O815">
        <v>5</v>
      </c>
      <c r="P815" s="1">
        <v>16558</v>
      </c>
      <c r="Q815" s="7">
        <f>INT((crimenes_cordoba_ampliado[[#This Row],[Fecha]]-crimenes_cordoba_ampliado[[#This Row],[Fecha Nac. Víctima]])/365)</f>
        <v>78</v>
      </c>
      <c r="R815" s="7" t="str">
        <f>_xlfn.XLOOKUP(crimenes_cordoba_ampliado[[#This Row],[EDAD VICTIMA]],'Rango etareo'!$A$2:$A$25,'Rango etareo'!$B$2:$B$25,,-1)</f>
        <v>&gt;65</v>
      </c>
      <c r="S815" s="3" t="s">
        <v>22</v>
      </c>
      <c r="T815" s="3" t="str">
        <f>IF(crimenes_cordoba_ampliado[[#This Row],[Género Víctima]]="Masculino","🚹","🚺")</f>
        <v>🚹</v>
      </c>
      <c r="U815">
        <v>1</v>
      </c>
      <c r="V815" s="3" t="s">
        <v>25</v>
      </c>
      <c r="W815" s="3" t="s">
        <v>24</v>
      </c>
      <c r="X815" s="3" t="s">
        <v>24</v>
      </c>
      <c r="Y815" s="3" t="s">
        <v>56</v>
      </c>
      <c r="Z815" s="3" t="s">
        <v>25</v>
      </c>
      <c r="AA815" s="3" t="s">
        <v>25</v>
      </c>
      <c r="AB815" s="3" t="str">
        <f>IF(crimenes_cordoba_ampliado[[#This Row],[Hubo Arresto]]="Sí", "Resuelto", "Pendiente")</f>
        <v>Pendiente</v>
      </c>
      <c r="AC815" s="3" t="s">
        <v>24</v>
      </c>
      <c r="AD815" s="3"/>
    </row>
    <row r="816" spans="1:30" x14ac:dyDescent="0.25">
      <c r="A816">
        <v>682</v>
      </c>
      <c r="B816" s="1">
        <v>45066</v>
      </c>
      <c r="C816" s="33">
        <f t="shared" si="24"/>
        <v>45066</v>
      </c>
      <c r="D816" s="34">
        <f t="shared" si="25"/>
        <v>45066</v>
      </c>
      <c r="E816" s="35" t="s">
        <v>1451</v>
      </c>
      <c r="F816" s="2">
        <v>0.11736111111111111</v>
      </c>
      <c r="G816" s="3" t="s">
        <v>35</v>
      </c>
      <c r="H816" s="3" t="s">
        <v>52</v>
      </c>
      <c r="I816" s="25" t="str">
        <f>VLOOKUP(H816,Tabla5[#All],4,FALSE)</f>
        <v>-31,3477902896523, -64,2644406169297</v>
      </c>
      <c r="J816" s="1">
        <v>24650</v>
      </c>
      <c r="K816" s="7">
        <f>INT((crimenes_cordoba_ampliado[[#This Row],[Fecha]]-crimenes_cordoba_ampliado[[#This Row],[Fecha Nac. Delincuente]])/365)</f>
        <v>55</v>
      </c>
      <c r="L816" s="7" t="str">
        <f>_xlfn.XLOOKUP(crimenes_cordoba_ampliado[[#This Row],[EDAD DELINCUENTE]],'Rango etareo'!$A$10:$A$25,'Rango etareo'!$B$10:$B$25,,-1)</f>
        <v>46 - 55</v>
      </c>
      <c r="M816" s="3" t="s">
        <v>21</v>
      </c>
      <c r="N816" s="3" t="str">
        <f>IF(crimenes_cordoba_ampliado[[#This Row],[Género Delincuente]]="Femenino","🚺","🚹")</f>
        <v>🚺</v>
      </c>
      <c r="O816">
        <v>5</v>
      </c>
      <c r="P816" s="1">
        <v>37525</v>
      </c>
      <c r="Q816" s="7">
        <f>INT((crimenes_cordoba_ampliado[[#This Row],[Fecha]]-crimenes_cordoba_ampliado[[#This Row],[Fecha Nac. Víctima]])/365)</f>
        <v>20</v>
      </c>
      <c r="R816" s="7" t="str">
        <f>_xlfn.XLOOKUP(crimenes_cordoba_ampliado[[#This Row],[EDAD VICTIMA]],'Rango etareo'!$A$2:$A$25,'Rango etareo'!$B$2:$B$25,,-1)</f>
        <v>18 - 25</v>
      </c>
      <c r="S816" s="3" t="s">
        <v>21</v>
      </c>
      <c r="T816" s="3" t="str">
        <f>IF(crimenes_cordoba_ampliado[[#This Row],[Género Víctima]]="Masculino","🚹","🚺")</f>
        <v>🚺</v>
      </c>
      <c r="U816">
        <v>1</v>
      </c>
      <c r="V816" s="3" t="s">
        <v>25</v>
      </c>
      <c r="W816" s="3" t="s">
        <v>24</v>
      </c>
      <c r="X816" s="3" t="s">
        <v>24</v>
      </c>
      <c r="Y816" s="3" t="s">
        <v>106</v>
      </c>
      <c r="Z816" s="3" t="s">
        <v>23</v>
      </c>
      <c r="AA816" s="3" t="s">
        <v>25</v>
      </c>
      <c r="AB816" s="3" t="str">
        <f>IF(crimenes_cordoba_ampliado[[#This Row],[Hubo Arresto]]="Sí", "Resuelto", "Pendiente")</f>
        <v>Pendiente</v>
      </c>
      <c r="AC816" s="3" t="s">
        <v>24</v>
      </c>
      <c r="AD816" s="3"/>
    </row>
    <row r="817" spans="1:30" x14ac:dyDescent="0.25">
      <c r="A817">
        <v>813</v>
      </c>
      <c r="B817" s="1">
        <v>44125</v>
      </c>
      <c r="C817" s="33">
        <f t="shared" si="24"/>
        <v>44125</v>
      </c>
      <c r="D817" s="34">
        <f t="shared" si="25"/>
        <v>44125</v>
      </c>
      <c r="E817" s="35" t="s">
        <v>1450</v>
      </c>
      <c r="F817" s="2">
        <v>0.73888888888888893</v>
      </c>
      <c r="G817" s="3" t="s">
        <v>45</v>
      </c>
      <c r="H817" s="3" t="s">
        <v>28</v>
      </c>
      <c r="I817" s="25" t="str">
        <f>VLOOKUP(H817,Tabla5[#All],4,FALSE)</f>
        <v>-31,4129883640337, -64,1681120522587</v>
      </c>
      <c r="J817" s="1">
        <v>35756</v>
      </c>
      <c r="K817" s="7">
        <f>INT((crimenes_cordoba_ampliado[[#This Row],[Fecha]]-crimenes_cordoba_ampliado[[#This Row],[Fecha Nac. Delincuente]])/365)</f>
        <v>22</v>
      </c>
      <c r="L817" s="7" t="str">
        <f>_xlfn.XLOOKUP(crimenes_cordoba_ampliado[[#This Row],[EDAD DELINCUENTE]],'Rango etareo'!$A$10:$A$25,'Rango etareo'!$B$10:$B$25,,-1)</f>
        <v>18 - 25</v>
      </c>
      <c r="M817" s="3" t="s">
        <v>22</v>
      </c>
      <c r="N817" s="3" t="str">
        <f>IF(crimenes_cordoba_ampliado[[#This Row],[Género Delincuente]]="Femenino","🚺","🚹")</f>
        <v>🚹</v>
      </c>
      <c r="O817">
        <v>1</v>
      </c>
      <c r="P817" s="1">
        <v>38163</v>
      </c>
      <c r="Q817" s="7">
        <f>INT((crimenes_cordoba_ampliado[[#This Row],[Fecha]]-crimenes_cordoba_ampliado[[#This Row],[Fecha Nac. Víctima]])/365)</f>
        <v>16</v>
      </c>
      <c r="R817" s="7" t="str">
        <f>_xlfn.XLOOKUP(crimenes_cordoba_ampliado[[#This Row],[EDAD VICTIMA]],'Rango etareo'!$A$2:$A$25,'Rango etareo'!$B$2:$B$25,,-1)</f>
        <v>&lt;=17</v>
      </c>
      <c r="S817" s="3" t="s">
        <v>22</v>
      </c>
      <c r="T817" s="3" t="str">
        <f>IF(crimenes_cordoba_ampliado[[#This Row],[Género Víctima]]="Masculino","🚹","🚺")</f>
        <v>🚹</v>
      </c>
      <c r="U817">
        <v>3</v>
      </c>
      <c r="V817" s="3" t="s">
        <v>23</v>
      </c>
      <c r="W817" s="3" t="s">
        <v>24</v>
      </c>
      <c r="X817" s="3" t="s">
        <v>50</v>
      </c>
      <c r="Y817" s="3" t="s">
        <v>24</v>
      </c>
      <c r="Z817" s="3" t="s">
        <v>23</v>
      </c>
      <c r="AA817" s="3" t="s">
        <v>25</v>
      </c>
      <c r="AB817" s="3" t="str">
        <f>IF(crimenes_cordoba_ampliado[[#This Row],[Hubo Arresto]]="Sí", "Resuelto", "Pendiente")</f>
        <v>Resuelto</v>
      </c>
      <c r="AC817" s="3" t="s">
        <v>190</v>
      </c>
      <c r="AD817" s="3"/>
    </row>
    <row r="818" spans="1:30" x14ac:dyDescent="0.25">
      <c r="A818">
        <v>816</v>
      </c>
      <c r="B818" s="1">
        <v>45397</v>
      </c>
      <c r="C818" s="33">
        <f t="shared" si="24"/>
        <v>45397</v>
      </c>
      <c r="D818" s="34">
        <f t="shared" si="25"/>
        <v>45397</v>
      </c>
      <c r="E818" s="35" t="s">
        <v>1452</v>
      </c>
      <c r="F818" s="2">
        <v>0.8979166666666667</v>
      </c>
      <c r="G818" s="3" t="s">
        <v>81</v>
      </c>
      <c r="H818" s="3" t="s">
        <v>52</v>
      </c>
      <c r="I818" s="25" t="str">
        <f>VLOOKUP(H818,Tabla5[#All],4,FALSE)</f>
        <v>-31,3477902896523, -64,2644406169297</v>
      </c>
      <c r="J818" s="1">
        <v>24029</v>
      </c>
      <c r="K818" s="7">
        <f>INT((crimenes_cordoba_ampliado[[#This Row],[Fecha]]-crimenes_cordoba_ampliado[[#This Row],[Fecha Nac. Delincuente]])/365)</f>
        <v>58</v>
      </c>
      <c r="L818" s="7" t="str">
        <f>_xlfn.XLOOKUP(crimenes_cordoba_ampliado[[#This Row],[EDAD DELINCUENTE]],'Rango etareo'!$A$10:$A$25,'Rango etareo'!$B$10:$B$25,,-1)</f>
        <v>56 - 65</v>
      </c>
      <c r="M818" s="3" t="s">
        <v>22</v>
      </c>
      <c r="N818" s="3" t="str">
        <f>IF(crimenes_cordoba_ampliado[[#This Row],[Género Delincuente]]="Femenino","🚺","🚹")</f>
        <v>🚹</v>
      </c>
      <c r="O818">
        <v>4</v>
      </c>
      <c r="P818" s="1">
        <v>40513</v>
      </c>
      <c r="Q818" s="7">
        <f>INT((crimenes_cordoba_ampliado[[#This Row],[Fecha]]-crimenes_cordoba_ampliado[[#This Row],[Fecha Nac. Víctima]])/365)</f>
        <v>13</v>
      </c>
      <c r="R818" s="7" t="str">
        <f>_xlfn.XLOOKUP(crimenes_cordoba_ampliado[[#This Row],[EDAD VICTIMA]],'Rango etareo'!$A$2:$A$25,'Rango etareo'!$B$2:$B$25,,-1)</f>
        <v>&lt;=17</v>
      </c>
      <c r="S818" s="3" t="s">
        <v>21</v>
      </c>
      <c r="T818" s="3" t="str">
        <f>IF(crimenes_cordoba_ampliado[[#This Row],[Género Víctima]]="Masculino","🚹","🚺")</f>
        <v>🚺</v>
      </c>
      <c r="U818">
        <v>2</v>
      </c>
      <c r="V818" s="3" t="s">
        <v>23</v>
      </c>
      <c r="W818" s="3" t="s">
        <v>24</v>
      </c>
      <c r="X818" s="3" t="s">
        <v>24</v>
      </c>
      <c r="Y818" s="3" t="s">
        <v>106</v>
      </c>
      <c r="Z818" s="3" t="s">
        <v>25</v>
      </c>
      <c r="AA818" s="3" t="s">
        <v>23</v>
      </c>
      <c r="AB818" s="3" t="str">
        <f>IF(crimenes_cordoba_ampliado[[#This Row],[Hubo Arresto]]="Sí", "Resuelto", "Pendiente")</f>
        <v>Resuelto</v>
      </c>
      <c r="AC818" s="3" t="s">
        <v>75</v>
      </c>
      <c r="AD818" s="3"/>
    </row>
    <row r="819" spans="1:30" x14ac:dyDescent="0.25">
      <c r="A819">
        <v>819</v>
      </c>
      <c r="B819" s="1">
        <v>45180</v>
      </c>
      <c r="C819" s="33">
        <f t="shared" si="24"/>
        <v>45180</v>
      </c>
      <c r="D819" s="34">
        <f t="shared" si="25"/>
        <v>45180</v>
      </c>
      <c r="E819" s="35" t="s">
        <v>1452</v>
      </c>
      <c r="F819" s="2">
        <v>0.70416666666666672</v>
      </c>
      <c r="G819" s="3" t="s">
        <v>19</v>
      </c>
      <c r="H819" s="3" t="s">
        <v>60</v>
      </c>
      <c r="I819" s="25" t="str">
        <f>VLOOKUP(H819,Tabla5[#All],4,FALSE)</f>
        <v>-31,4076397196409, -64,2020170430678</v>
      </c>
      <c r="J819" s="1">
        <v>25752</v>
      </c>
      <c r="K819" s="7">
        <f>INT((crimenes_cordoba_ampliado[[#This Row],[Fecha]]-crimenes_cordoba_ampliado[[#This Row],[Fecha Nac. Delincuente]])/365)</f>
        <v>53</v>
      </c>
      <c r="L819" s="7" t="str">
        <f>_xlfn.XLOOKUP(crimenes_cordoba_ampliado[[#This Row],[EDAD DELINCUENTE]],'Rango etareo'!$A$10:$A$25,'Rango etareo'!$B$10:$B$25,,-1)</f>
        <v>46 - 55</v>
      </c>
      <c r="M819" s="3" t="s">
        <v>21</v>
      </c>
      <c r="N819" s="3" t="str">
        <f>IF(crimenes_cordoba_ampliado[[#This Row],[Género Delincuente]]="Femenino","🚺","🚹")</f>
        <v>🚺</v>
      </c>
      <c r="O819">
        <v>4</v>
      </c>
      <c r="P819" s="1">
        <v>19238</v>
      </c>
      <c r="Q819" s="7">
        <f>INT((crimenes_cordoba_ampliado[[#This Row],[Fecha]]-crimenes_cordoba_ampliado[[#This Row],[Fecha Nac. Víctima]])/365)</f>
        <v>71</v>
      </c>
      <c r="R819" s="7" t="str">
        <f>_xlfn.XLOOKUP(crimenes_cordoba_ampliado[[#This Row],[EDAD VICTIMA]],'Rango etareo'!$A$2:$A$25,'Rango etareo'!$B$2:$B$25,,-1)</f>
        <v>&gt;65</v>
      </c>
      <c r="S819" s="3" t="s">
        <v>22</v>
      </c>
      <c r="T819" s="3" t="str">
        <f>IF(crimenes_cordoba_ampliado[[#This Row],[Género Víctima]]="Masculino","🚹","🚺")</f>
        <v>🚹</v>
      </c>
      <c r="U819">
        <v>1</v>
      </c>
      <c r="V819" s="3" t="s">
        <v>23</v>
      </c>
      <c r="W819" s="3" t="s">
        <v>24</v>
      </c>
      <c r="X819" s="3" t="s">
        <v>24</v>
      </c>
      <c r="Y819" s="3" t="s">
        <v>89</v>
      </c>
      <c r="Z819" s="3" t="s">
        <v>25</v>
      </c>
      <c r="AA819" s="3" t="s">
        <v>25</v>
      </c>
      <c r="AB819" s="3" t="str">
        <f>IF(crimenes_cordoba_ampliado[[#This Row],[Hubo Arresto]]="Sí", "Resuelto", "Pendiente")</f>
        <v>Resuelto</v>
      </c>
      <c r="AC819" s="3" t="s">
        <v>307</v>
      </c>
      <c r="AD819" s="3"/>
    </row>
    <row r="820" spans="1:30" x14ac:dyDescent="0.25">
      <c r="A820">
        <v>820</v>
      </c>
      <c r="B820" s="1">
        <v>44845</v>
      </c>
      <c r="C820" s="33">
        <f t="shared" si="24"/>
        <v>44845</v>
      </c>
      <c r="D820" s="34">
        <f t="shared" si="25"/>
        <v>44845</v>
      </c>
      <c r="E820" s="35" t="s">
        <v>1453</v>
      </c>
      <c r="F820" s="2">
        <v>0.54166666666666663</v>
      </c>
      <c r="G820" s="3" t="s">
        <v>48</v>
      </c>
      <c r="H820" s="3" t="s">
        <v>55</v>
      </c>
      <c r="I820" s="25" t="str">
        <f>VLOOKUP(H820,Tabla5[#All],4,FALSE)</f>
        <v>-31,4015892433235, -64,160442876477</v>
      </c>
      <c r="J820" s="1">
        <v>31321</v>
      </c>
      <c r="K820" s="7">
        <f>INT((crimenes_cordoba_ampliado[[#This Row],[Fecha]]-crimenes_cordoba_ampliado[[#This Row],[Fecha Nac. Delincuente]])/365)</f>
        <v>37</v>
      </c>
      <c r="L820" s="7" t="str">
        <f>_xlfn.XLOOKUP(crimenes_cordoba_ampliado[[#This Row],[EDAD DELINCUENTE]],'Rango etareo'!$A$10:$A$25,'Rango etareo'!$B$10:$B$25,,-1)</f>
        <v>36 - 45</v>
      </c>
      <c r="M820" s="3" t="s">
        <v>22</v>
      </c>
      <c r="N820" s="3" t="str">
        <f>IF(crimenes_cordoba_ampliado[[#This Row],[Género Delincuente]]="Femenino","🚺","🚹")</f>
        <v>🚹</v>
      </c>
      <c r="O820">
        <v>4</v>
      </c>
      <c r="P820" s="1">
        <v>26843</v>
      </c>
      <c r="Q820" s="7">
        <f>INT((crimenes_cordoba_ampliado[[#This Row],[Fecha]]-crimenes_cordoba_ampliado[[#This Row],[Fecha Nac. Víctima]])/365)</f>
        <v>49</v>
      </c>
      <c r="R820" s="7" t="str">
        <f>_xlfn.XLOOKUP(crimenes_cordoba_ampliado[[#This Row],[EDAD VICTIMA]],'Rango etareo'!$A$2:$A$25,'Rango etareo'!$B$2:$B$25,,-1)</f>
        <v>46 - 55</v>
      </c>
      <c r="S820" s="3" t="s">
        <v>21</v>
      </c>
      <c r="T820" s="3" t="str">
        <f>IF(crimenes_cordoba_ampliado[[#This Row],[Género Víctima]]="Masculino","🚹","🚺")</f>
        <v>🚺</v>
      </c>
      <c r="U820">
        <v>2</v>
      </c>
      <c r="V820" s="3" t="s">
        <v>23</v>
      </c>
      <c r="W820" s="3" t="s">
        <v>24</v>
      </c>
      <c r="X820" s="3" t="s">
        <v>24</v>
      </c>
      <c r="Y820" s="3" t="s">
        <v>69</v>
      </c>
      <c r="Z820" s="3" t="s">
        <v>23</v>
      </c>
      <c r="AA820" s="3" t="s">
        <v>25</v>
      </c>
      <c r="AB820" s="3" t="str">
        <f>IF(crimenes_cordoba_ampliado[[#This Row],[Hubo Arresto]]="Sí", "Resuelto", "Pendiente")</f>
        <v>Resuelto</v>
      </c>
      <c r="AC820" s="3" t="s">
        <v>124</v>
      </c>
      <c r="AD820" s="3"/>
    </row>
    <row r="821" spans="1:30" x14ac:dyDescent="0.25">
      <c r="A821">
        <v>911</v>
      </c>
      <c r="B821" s="1">
        <v>45075</v>
      </c>
      <c r="C821" s="33">
        <f t="shared" si="24"/>
        <v>45075</v>
      </c>
      <c r="D821" s="34">
        <f t="shared" si="25"/>
        <v>45075</v>
      </c>
      <c r="E821" s="35" t="s">
        <v>1452</v>
      </c>
      <c r="F821" s="2">
        <v>0.81874999999999998</v>
      </c>
      <c r="G821" s="3" t="s">
        <v>38</v>
      </c>
      <c r="H821" s="3" t="s">
        <v>40</v>
      </c>
      <c r="I821" s="25" t="str">
        <f>VLOOKUP(H821,Tabla5[#All],4,FALSE)</f>
        <v>-31,334500143441, -64,2460773260564</v>
      </c>
      <c r="J821" s="1">
        <v>31803</v>
      </c>
      <c r="K821" s="7">
        <f>INT((crimenes_cordoba_ampliado[[#This Row],[Fecha]]-crimenes_cordoba_ampliado[[#This Row],[Fecha Nac. Delincuente]])/365)</f>
        <v>36</v>
      </c>
      <c r="L821" s="7" t="str">
        <f>_xlfn.XLOOKUP(crimenes_cordoba_ampliado[[#This Row],[EDAD DELINCUENTE]],'Rango etareo'!$A$10:$A$25,'Rango etareo'!$B$10:$B$25,,-1)</f>
        <v>36 - 45</v>
      </c>
      <c r="M821" s="3" t="s">
        <v>22</v>
      </c>
      <c r="N821" s="3" t="str">
        <f>IF(crimenes_cordoba_ampliado[[#This Row],[Género Delincuente]]="Femenino","🚺","🚹")</f>
        <v>🚹</v>
      </c>
      <c r="O821">
        <v>3</v>
      </c>
      <c r="P821" s="1">
        <v>15387</v>
      </c>
      <c r="Q821" s="7">
        <f>INT((crimenes_cordoba_ampliado[[#This Row],[Fecha]]-crimenes_cordoba_ampliado[[#This Row],[Fecha Nac. Víctima]])/365)</f>
        <v>81</v>
      </c>
      <c r="R821" s="7" t="str">
        <f>_xlfn.XLOOKUP(crimenes_cordoba_ampliado[[#This Row],[EDAD VICTIMA]],'Rango etareo'!$A$2:$A$25,'Rango etareo'!$B$2:$B$25,,-1)</f>
        <v>&gt;65</v>
      </c>
      <c r="S821" s="3" t="s">
        <v>21</v>
      </c>
      <c r="T821" s="3" t="str">
        <f>IF(crimenes_cordoba_ampliado[[#This Row],[Género Víctima]]="Masculino","🚹","🚺")</f>
        <v>🚺</v>
      </c>
      <c r="U821">
        <v>1</v>
      </c>
      <c r="V821" s="3" t="s">
        <v>25</v>
      </c>
      <c r="W821" s="3" t="s">
        <v>24</v>
      </c>
      <c r="X821" s="3" t="s">
        <v>24</v>
      </c>
      <c r="Y821" s="3" t="s">
        <v>33</v>
      </c>
      <c r="Z821" s="3" t="s">
        <v>25</v>
      </c>
      <c r="AA821" s="3" t="s">
        <v>23</v>
      </c>
      <c r="AB821" s="3" t="str">
        <f>IF(crimenes_cordoba_ampliado[[#This Row],[Hubo Arresto]]="Sí", "Resuelto", "Pendiente")</f>
        <v>Pendiente</v>
      </c>
      <c r="AC821" s="3" t="s">
        <v>24</v>
      </c>
      <c r="AD821" s="3"/>
    </row>
    <row r="822" spans="1:30" x14ac:dyDescent="0.25">
      <c r="A822">
        <v>5</v>
      </c>
      <c r="B822" s="1">
        <v>45091</v>
      </c>
      <c r="C822" s="33">
        <f t="shared" si="24"/>
        <v>45091</v>
      </c>
      <c r="D822" s="34">
        <f t="shared" si="25"/>
        <v>45091</v>
      </c>
      <c r="E822" s="35" t="s">
        <v>1450</v>
      </c>
      <c r="F822" s="2">
        <v>0.37638888888888888</v>
      </c>
      <c r="G822" s="3" t="s">
        <v>38</v>
      </c>
      <c r="H822" s="3" t="s">
        <v>32</v>
      </c>
      <c r="I822" s="25" t="str">
        <f>VLOOKUP(H822,Tabla5[#All],4,FALSE)</f>
        <v>-31,4148488101991, -64,1793406489438</v>
      </c>
      <c r="J822" s="1">
        <v>35036</v>
      </c>
      <c r="K822" s="7">
        <f>INT((crimenes_cordoba_ampliado[[#This Row],[Fecha]]-crimenes_cordoba_ampliado[[#This Row],[Fecha Nac. Delincuente]])/365)</f>
        <v>27</v>
      </c>
      <c r="L822" s="7" t="str">
        <f>_xlfn.XLOOKUP(crimenes_cordoba_ampliado[[#This Row],[EDAD DELINCUENTE]],'Rango etareo'!$A$10:$A$25,'Rango etareo'!$B$10:$B$25,,-1)</f>
        <v>26 - 35</v>
      </c>
      <c r="M822" s="3" t="s">
        <v>21</v>
      </c>
      <c r="N822" s="3" t="str">
        <f>IF(crimenes_cordoba_ampliado[[#This Row],[Género Delincuente]]="Femenino","🚺","🚹")</f>
        <v>🚺</v>
      </c>
      <c r="O822">
        <v>5</v>
      </c>
      <c r="P822" s="1">
        <v>24039</v>
      </c>
      <c r="Q822" s="7">
        <f>INT((crimenes_cordoba_ampliado[[#This Row],[Fecha]]-crimenes_cordoba_ampliado[[#This Row],[Fecha Nac. Víctima]])/365)</f>
        <v>57</v>
      </c>
      <c r="R822" s="7" t="str">
        <f>_xlfn.XLOOKUP(crimenes_cordoba_ampliado[[#This Row],[EDAD VICTIMA]],'Rango etareo'!$A$2:$A$25,'Rango etareo'!$B$2:$B$25,,-1)</f>
        <v>56 - 65</v>
      </c>
      <c r="S822" s="3" t="s">
        <v>21</v>
      </c>
      <c r="T822" s="3" t="str">
        <f>IF(crimenes_cordoba_ampliado[[#This Row],[Género Víctima]]="Masculino","🚹","🚺")</f>
        <v>🚺</v>
      </c>
      <c r="U822">
        <v>2</v>
      </c>
      <c r="V822" s="3" t="s">
        <v>25</v>
      </c>
      <c r="W822" s="3" t="s">
        <v>24</v>
      </c>
      <c r="X822" s="3" t="s">
        <v>24</v>
      </c>
      <c r="Y822" s="3" t="s">
        <v>39</v>
      </c>
      <c r="Z822" s="3" t="s">
        <v>25</v>
      </c>
      <c r="AA822" s="3" t="s">
        <v>25</v>
      </c>
      <c r="AB822" s="3" t="str">
        <f>IF(crimenes_cordoba_ampliado[[#This Row],[Hubo Arresto]]="Sí", "Resuelto", "Pendiente")</f>
        <v>Pendiente</v>
      </c>
      <c r="AC822" s="3" t="s">
        <v>24</v>
      </c>
      <c r="AD822" s="3"/>
    </row>
    <row r="823" spans="1:30" x14ac:dyDescent="0.25">
      <c r="A823">
        <v>821</v>
      </c>
      <c r="B823" s="1">
        <v>42101</v>
      </c>
      <c r="C823" s="33">
        <f t="shared" si="24"/>
        <v>42101</v>
      </c>
      <c r="D823" s="34">
        <f t="shared" si="25"/>
        <v>42101</v>
      </c>
      <c r="E823" s="35" t="s">
        <v>1453</v>
      </c>
      <c r="F823" s="2">
        <v>0.81180555555555556</v>
      </c>
      <c r="G823" s="3" t="s">
        <v>35</v>
      </c>
      <c r="H823" s="3" t="s">
        <v>60</v>
      </c>
      <c r="I823" s="25" t="str">
        <f>VLOOKUP(H823,Tabla5[#All],4,FALSE)</f>
        <v>-31,4076397196409, -64,2020170430678</v>
      </c>
      <c r="J823" s="1">
        <v>33376</v>
      </c>
      <c r="K823" s="7">
        <f>INT((crimenes_cordoba_ampliado[[#This Row],[Fecha]]-crimenes_cordoba_ampliado[[#This Row],[Fecha Nac. Delincuente]])/365)</f>
        <v>23</v>
      </c>
      <c r="L823" s="7" t="str">
        <f>_xlfn.XLOOKUP(crimenes_cordoba_ampliado[[#This Row],[EDAD DELINCUENTE]],'Rango etareo'!$A$10:$A$25,'Rango etareo'!$B$10:$B$25,,-1)</f>
        <v>18 - 25</v>
      </c>
      <c r="M823" s="3" t="s">
        <v>21</v>
      </c>
      <c r="N823" s="3" t="str">
        <f>IF(crimenes_cordoba_ampliado[[#This Row],[Género Delincuente]]="Femenino","🚺","🚹")</f>
        <v>🚺</v>
      </c>
      <c r="O823">
        <v>1</v>
      </c>
      <c r="P823" s="1">
        <v>25085</v>
      </c>
      <c r="Q823" s="7">
        <f>INT((crimenes_cordoba_ampliado[[#This Row],[Fecha]]-crimenes_cordoba_ampliado[[#This Row],[Fecha Nac. Víctima]])/365)</f>
        <v>46</v>
      </c>
      <c r="R823" s="7" t="str">
        <f>_xlfn.XLOOKUP(crimenes_cordoba_ampliado[[#This Row],[EDAD VICTIMA]],'Rango etareo'!$A$2:$A$25,'Rango etareo'!$B$2:$B$25,,-1)</f>
        <v>46 - 55</v>
      </c>
      <c r="S823" s="3" t="s">
        <v>22</v>
      </c>
      <c r="T823" s="3" t="str">
        <f>IF(crimenes_cordoba_ampliado[[#This Row],[Género Víctima]]="Masculino","🚹","🚺")</f>
        <v>🚹</v>
      </c>
      <c r="U823">
        <v>1</v>
      </c>
      <c r="V823" s="3" t="s">
        <v>23</v>
      </c>
      <c r="W823" s="3" t="s">
        <v>36</v>
      </c>
      <c r="X823" s="3" t="s">
        <v>24</v>
      </c>
      <c r="Y823" s="3" t="s">
        <v>99</v>
      </c>
      <c r="Z823" s="3" t="s">
        <v>23</v>
      </c>
      <c r="AA823" s="3" t="s">
        <v>23</v>
      </c>
      <c r="AB823" s="3" t="str">
        <f>IF(crimenes_cordoba_ampliado[[#This Row],[Hubo Arresto]]="Sí", "Resuelto", "Pendiente")</f>
        <v>Resuelto</v>
      </c>
      <c r="AC823" s="3" t="s">
        <v>267</v>
      </c>
      <c r="AD823" s="3"/>
    </row>
    <row r="824" spans="1:30" x14ac:dyDescent="0.25">
      <c r="A824">
        <v>823</v>
      </c>
      <c r="B824" s="1">
        <v>45569</v>
      </c>
      <c r="C824" s="33">
        <f t="shared" si="24"/>
        <v>45569</v>
      </c>
      <c r="D824" s="34">
        <f t="shared" si="25"/>
        <v>45569</v>
      </c>
      <c r="E824" s="35" t="s">
        <v>1455</v>
      </c>
      <c r="F824" s="2">
        <v>0.86250000000000004</v>
      </c>
      <c r="G824" s="3" t="s">
        <v>45</v>
      </c>
      <c r="H824" s="3" t="s">
        <v>32</v>
      </c>
      <c r="I824" s="25" t="str">
        <f>VLOOKUP(H824,Tabla5[#All],4,FALSE)</f>
        <v>-31,4148488101991, -64,1793406489438</v>
      </c>
      <c r="J824" s="1">
        <v>35983</v>
      </c>
      <c r="K824" s="7">
        <f>INT((crimenes_cordoba_ampliado[[#This Row],[Fecha]]-crimenes_cordoba_ampliado[[#This Row],[Fecha Nac. Delincuente]])/365)</f>
        <v>26</v>
      </c>
      <c r="L824" s="7" t="str">
        <f>_xlfn.XLOOKUP(crimenes_cordoba_ampliado[[#This Row],[EDAD DELINCUENTE]],'Rango etareo'!$A$10:$A$25,'Rango etareo'!$B$10:$B$25,,-1)</f>
        <v>26 - 35</v>
      </c>
      <c r="M824" s="3" t="s">
        <v>21</v>
      </c>
      <c r="N824" s="3" t="str">
        <f>IF(crimenes_cordoba_ampliado[[#This Row],[Género Delincuente]]="Femenino","🚺","🚹")</f>
        <v>🚺</v>
      </c>
      <c r="O824">
        <v>1</v>
      </c>
      <c r="P824" s="1">
        <v>36015</v>
      </c>
      <c r="Q824" s="7">
        <f>INT((crimenes_cordoba_ampliado[[#This Row],[Fecha]]-crimenes_cordoba_ampliado[[#This Row],[Fecha Nac. Víctima]])/365)</f>
        <v>26</v>
      </c>
      <c r="R824" s="7" t="str">
        <f>_xlfn.XLOOKUP(crimenes_cordoba_ampliado[[#This Row],[EDAD VICTIMA]],'Rango etareo'!$A$2:$A$25,'Rango etareo'!$B$2:$B$25,,-1)</f>
        <v>26 - 35</v>
      </c>
      <c r="S824" s="3" t="s">
        <v>22</v>
      </c>
      <c r="T824" s="3" t="str">
        <f>IF(crimenes_cordoba_ampliado[[#This Row],[Género Víctima]]="Masculino","🚹","🚺")</f>
        <v>🚹</v>
      </c>
      <c r="U824">
        <v>2</v>
      </c>
      <c r="V824" s="3" t="s">
        <v>23</v>
      </c>
      <c r="W824" s="3" t="s">
        <v>36</v>
      </c>
      <c r="X824" s="3" t="s">
        <v>41</v>
      </c>
      <c r="Y824" s="3" t="s">
        <v>24</v>
      </c>
      <c r="Z824" s="3" t="s">
        <v>25</v>
      </c>
      <c r="AA824" s="3" t="s">
        <v>25</v>
      </c>
      <c r="AB824" s="3" t="str">
        <f>IF(crimenes_cordoba_ampliado[[#This Row],[Hubo Arresto]]="Sí", "Resuelto", "Pendiente")</f>
        <v>Resuelto</v>
      </c>
      <c r="AC824" s="3" t="s">
        <v>171</v>
      </c>
      <c r="AD824" s="3"/>
    </row>
    <row r="825" spans="1:30" x14ac:dyDescent="0.25">
      <c r="A825">
        <v>826</v>
      </c>
      <c r="B825" s="1">
        <v>44219</v>
      </c>
      <c r="C825" s="33">
        <f t="shared" si="24"/>
        <v>44219</v>
      </c>
      <c r="D825" s="34">
        <f t="shared" si="25"/>
        <v>44219</v>
      </c>
      <c r="E825" s="35" t="s">
        <v>1451</v>
      </c>
      <c r="F825" s="2">
        <v>0.98472222222222228</v>
      </c>
      <c r="G825" s="3" t="s">
        <v>81</v>
      </c>
      <c r="H825" s="3" t="s">
        <v>28</v>
      </c>
      <c r="I825" s="25" t="str">
        <f>VLOOKUP(H825,Tabla5[#All],4,FALSE)</f>
        <v>-31,4129883640337, -64,1681120522587</v>
      </c>
      <c r="J825" s="1">
        <v>21480</v>
      </c>
      <c r="K825" s="7">
        <f>INT((crimenes_cordoba_ampliado[[#This Row],[Fecha]]-crimenes_cordoba_ampliado[[#This Row],[Fecha Nac. Delincuente]])/365)</f>
        <v>62</v>
      </c>
      <c r="L825" s="7" t="str">
        <f>_xlfn.XLOOKUP(crimenes_cordoba_ampliado[[#This Row],[EDAD DELINCUENTE]],'Rango etareo'!$A$10:$A$25,'Rango etareo'!$B$10:$B$25,,-1)</f>
        <v>56 - 65</v>
      </c>
      <c r="M825" s="3" t="s">
        <v>21</v>
      </c>
      <c r="N825" s="3" t="str">
        <f>IF(crimenes_cordoba_ampliado[[#This Row],[Género Delincuente]]="Femenino","🚺","🚹")</f>
        <v>🚺</v>
      </c>
      <c r="O825">
        <v>1</v>
      </c>
      <c r="P825" s="1">
        <v>15257</v>
      </c>
      <c r="Q825" s="7">
        <f>INT((crimenes_cordoba_ampliado[[#This Row],[Fecha]]-crimenes_cordoba_ampliado[[#This Row],[Fecha Nac. Víctima]])/365)</f>
        <v>79</v>
      </c>
      <c r="R825" s="7" t="str">
        <f>_xlfn.XLOOKUP(crimenes_cordoba_ampliado[[#This Row],[EDAD VICTIMA]],'Rango etareo'!$A$2:$A$25,'Rango etareo'!$B$2:$B$25,,-1)</f>
        <v>&gt;65</v>
      </c>
      <c r="S825" s="3" t="s">
        <v>22</v>
      </c>
      <c r="T825" s="3" t="str">
        <f>IF(crimenes_cordoba_ampliado[[#This Row],[Género Víctima]]="Masculino","🚹","🚺")</f>
        <v>🚹</v>
      </c>
      <c r="U825">
        <v>3</v>
      </c>
      <c r="V825" s="3" t="s">
        <v>23</v>
      </c>
      <c r="W825" s="3" t="s">
        <v>24</v>
      </c>
      <c r="X825" s="3" t="s">
        <v>24</v>
      </c>
      <c r="Y825" s="3" t="s">
        <v>113</v>
      </c>
      <c r="Z825" s="3" t="s">
        <v>25</v>
      </c>
      <c r="AA825" s="3" t="s">
        <v>25</v>
      </c>
      <c r="AB825" s="3" t="str">
        <f>IF(crimenes_cordoba_ampliado[[#This Row],[Hubo Arresto]]="Sí", "Resuelto", "Pendiente")</f>
        <v>Resuelto</v>
      </c>
      <c r="AC825" s="3" t="s">
        <v>184</v>
      </c>
      <c r="AD825" s="3"/>
    </row>
    <row r="826" spans="1:30" x14ac:dyDescent="0.25">
      <c r="A826">
        <v>15</v>
      </c>
      <c r="B826" s="1">
        <v>45103</v>
      </c>
      <c r="C826" s="33">
        <f t="shared" si="24"/>
        <v>45103</v>
      </c>
      <c r="D826" s="34">
        <f t="shared" si="25"/>
        <v>45103</v>
      </c>
      <c r="E826" s="35" t="s">
        <v>1452</v>
      </c>
      <c r="F826" s="2">
        <v>0.91597222222222219</v>
      </c>
      <c r="G826" s="3" t="s">
        <v>45</v>
      </c>
      <c r="H826" s="3" t="s">
        <v>62</v>
      </c>
      <c r="I826" s="25" t="str">
        <f>VLOOKUP(H826,Tabla5[#All],4,FALSE)</f>
        <v>-31,3909520937826, -64,1836424491715</v>
      </c>
      <c r="J826" s="1">
        <v>33165</v>
      </c>
      <c r="K826" s="7">
        <f>INT((crimenes_cordoba_ampliado[[#This Row],[Fecha]]-crimenes_cordoba_ampliado[[#This Row],[Fecha Nac. Delincuente]])/365)</f>
        <v>32</v>
      </c>
      <c r="L826" s="7" t="str">
        <f>_xlfn.XLOOKUP(crimenes_cordoba_ampliado[[#This Row],[EDAD DELINCUENTE]],'Rango etareo'!$A$10:$A$25,'Rango etareo'!$B$10:$B$25,,-1)</f>
        <v>26 - 35</v>
      </c>
      <c r="M826" s="3" t="s">
        <v>22</v>
      </c>
      <c r="N826" s="3" t="str">
        <f>IF(crimenes_cordoba_ampliado[[#This Row],[Género Delincuente]]="Femenino","🚺","🚹")</f>
        <v>🚹</v>
      </c>
      <c r="O826">
        <v>3</v>
      </c>
      <c r="P826" s="1">
        <v>28810</v>
      </c>
      <c r="Q826" s="7">
        <f>INT((crimenes_cordoba_ampliado[[#This Row],[Fecha]]-crimenes_cordoba_ampliado[[#This Row],[Fecha Nac. Víctima]])/365)</f>
        <v>44</v>
      </c>
      <c r="R826" s="7" t="str">
        <f>_xlfn.XLOOKUP(crimenes_cordoba_ampliado[[#This Row],[EDAD VICTIMA]],'Rango etareo'!$A$2:$A$25,'Rango etareo'!$B$2:$B$25,,-1)</f>
        <v>36 - 45</v>
      </c>
      <c r="S826" s="3" t="s">
        <v>22</v>
      </c>
      <c r="T826" s="3" t="str">
        <f>IF(crimenes_cordoba_ampliado[[#This Row],[Género Víctima]]="Masculino","🚹","🚺")</f>
        <v>🚹</v>
      </c>
      <c r="U826">
        <v>1</v>
      </c>
      <c r="V826" s="3" t="s">
        <v>25</v>
      </c>
      <c r="W826" s="3" t="s">
        <v>63</v>
      </c>
      <c r="X826" s="3" t="s">
        <v>24</v>
      </c>
      <c r="Y826" s="3" t="s">
        <v>64</v>
      </c>
      <c r="Z826" s="3" t="s">
        <v>25</v>
      </c>
      <c r="AA826" s="3" t="s">
        <v>23</v>
      </c>
      <c r="AB826" s="3" t="str">
        <f>IF(crimenes_cordoba_ampliado[[#This Row],[Hubo Arresto]]="Sí", "Resuelto", "Pendiente")</f>
        <v>Pendiente</v>
      </c>
      <c r="AC826" s="3" t="s">
        <v>24</v>
      </c>
      <c r="AD826" s="3"/>
    </row>
    <row r="827" spans="1:30" x14ac:dyDescent="0.25">
      <c r="A827">
        <v>828</v>
      </c>
      <c r="B827" s="1">
        <v>44964</v>
      </c>
      <c r="C827" s="33">
        <f t="shared" si="24"/>
        <v>44964</v>
      </c>
      <c r="D827" s="34">
        <f t="shared" si="25"/>
        <v>44964</v>
      </c>
      <c r="E827" s="35" t="s">
        <v>1453</v>
      </c>
      <c r="F827" s="2">
        <v>0.90277777777777779</v>
      </c>
      <c r="G827" s="3" t="s">
        <v>27</v>
      </c>
      <c r="H827" s="3" t="s">
        <v>20</v>
      </c>
      <c r="I827" s="25" t="str">
        <f>VLOOKUP(H827,Tabla5[#All],4,FALSE)</f>
        <v>-31,4800162965848, -64,2094200976892</v>
      </c>
      <c r="J827" s="1">
        <v>35024</v>
      </c>
      <c r="K827" s="7">
        <f>INT((crimenes_cordoba_ampliado[[#This Row],[Fecha]]-crimenes_cordoba_ampliado[[#This Row],[Fecha Nac. Delincuente]])/365)</f>
        <v>27</v>
      </c>
      <c r="L827" s="7" t="str">
        <f>_xlfn.XLOOKUP(crimenes_cordoba_ampliado[[#This Row],[EDAD DELINCUENTE]],'Rango etareo'!$A$10:$A$25,'Rango etareo'!$B$10:$B$25,,-1)</f>
        <v>26 - 35</v>
      </c>
      <c r="M827" s="3" t="s">
        <v>22</v>
      </c>
      <c r="N827" s="3" t="str">
        <f>IF(crimenes_cordoba_ampliado[[#This Row],[Género Delincuente]]="Femenino","🚺","🚹")</f>
        <v>🚹</v>
      </c>
      <c r="O827">
        <v>2</v>
      </c>
      <c r="P827" s="1">
        <v>19772</v>
      </c>
      <c r="Q827" s="7">
        <f>INT((crimenes_cordoba_ampliado[[#This Row],[Fecha]]-crimenes_cordoba_ampliado[[#This Row],[Fecha Nac. Víctima]])/365)</f>
        <v>69</v>
      </c>
      <c r="R827" s="7" t="str">
        <f>_xlfn.XLOOKUP(crimenes_cordoba_ampliado[[#This Row],[EDAD VICTIMA]],'Rango etareo'!$A$2:$A$25,'Rango etareo'!$B$2:$B$25,,-1)</f>
        <v>&gt;65</v>
      </c>
      <c r="S827" s="3" t="s">
        <v>22</v>
      </c>
      <c r="T827" s="3" t="str">
        <f>IF(crimenes_cordoba_ampliado[[#This Row],[Género Víctima]]="Masculino","🚹","🚺")</f>
        <v>🚹</v>
      </c>
      <c r="U827">
        <v>3</v>
      </c>
      <c r="V827" s="3" t="s">
        <v>23</v>
      </c>
      <c r="W827" s="3" t="s">
        <v>83</v>
      </c>
      <c r="X827" s="3" t="s">
        <v>24</v>
      </c>
      <c r="Y827" s="3" t="s">
        <v>99</v>
      </c>
      <c r="Z827" s="3" t="s">
        <v>25</v>
      </c>
      <c r="AA827" s="3" t="s">
        <v>25</v>
      </c>
      <c r="AB827" s="3" t="str">
        <f>IF(crimenes_cordoba_ampliado[[#This Row],[Hubo Arresto]]="Sí", "Resuelto", "Pendiente")</f>
        <v>Resuelto</v>
      </c>
      <c r="AC827" s="3" t="s">
        <v>90</v>
      </c>
      <c r="AD827" s="3"/>
    </row>
    <row r="828" spans="1:30" x14ac:dyDescent="0.25">
      <c r="A828">
        <v>540</v>
      </c>
      <c r="B828" s="1">
        <v>45105</v>
      </c>
      <c r="C828" s="33">
        <f t="shared" si="24"/>
        <v>45105</v>
      </c>
      <c r="D828" s="34">
        <f t="shared" si="25"/>
        <v>45105</v>
      </c>
      <c r="E828" s="35" t="s">
        <v>1450</v>
      </c>
      <c r="F828" s="2">
        <v>0.41944444444444445</v>
      </c>
      <c r="G828" s="3" t="s">
        <v>35</v>
      </c>
      <c r="H828" s="3" t="s">
        <v>28</v>
      </c>
      <c r="I828" s="25" t="str">
        <f>VLOOKUP(H828,Tabla5[#All],4,FALSE)</f>
        <v>-31,4129883640337, -64,1681120522587</v>
      </c>
      <c r="J828" s="1">
        <v>33004</v>
      </c>
      <c r="K828" s="7">
        <f>INT((crimenes_cordoba_ampliado[[#This Row],[Fecha]]-crimenes_cordoba_ampliado[[#This Row],[Fecha Nac. Delincuente]])/365)</f>
        <v>33</v>
      </c>
      <c r="L828" s="7" t="str">
        <f>_xlfn.XLOOKUP(crimenes_cordoba_ampliado[[#This Row],[EDAD DELINCUENTE]],'Rango etareo'!$A$10:$A$25,'Rango etareo'!$B$10:$B$25,,-1)</f>
        <v>26 - 35</v>
      </c>
      <c r="M828" s="3" t="s">
        <v>21</v>
      </c>
      <c r="N828" s="3" t="str">
        <f>IF(crimenes_cordoba_ampliado[[#This Row],[Género Delincuente]]="Femenino","🚺","🚹")</f>
        <v>🚺</v>
      </c>
      <c r="O828">
        <v>1</v>
      </c>
      <c r="P828" s="1">
        <v>31394</v>
      </c>
      <c r="Q828" s="7">
        <f>INT((crimenes_cordoba_ampliado[[#This Row],[Fecha]]-crimenes_cordoba_ampliado[[#This Row],[Fecha Nac. Víctima]])/365)</f>
        <v>37</v>
      </c>
      <c r="R828" s="7" t="str">
        <f>_xlfn.XLOOKUP(crimenes_cordoba_ampliado[[#This Row],[EDAD VICTIMA]],'Rango etareo'!$A$2:$A$25,'Rango etareo'!$B$2:$B$25,,-1)</f>
        <v>36 - 45</v>
      </c>
      <c r="S828" s="3" t="s">
        <v>22</v>
      </c>
      <c r="T828" s="3" t="str">
        <f>IF(crimenes_cordoba_ampliado[[#This Row],[Género Víctima]]="Masculino","🚹","🚺")</f>
        <v>🚹</v>
      </c>
      <c r="U828">
        <v>2</v>
      </c>
      <c r="V828" s="3" t="s">
        <v>25</v>
      </c>
      <c r="W828" s="3" t="s">
        <v>24</v>
      </c>
      <c r="X828" s="3" t="s">
        <v>24</v>
      </c>
      <c r="Y828" s="3" t="s">
        <v>43</v>
      </c>
      <c r="Z828" s="3" t="s">
        <v>25</v>
      </c>
      <c r="AA828" s="3" t="s">
        <v>23</v>
      </c>
      <c r="AB828" s="3" t="str">
        <f>IF(crimenes_cordoba_ampliado[[#This Row],[Hubo Arresto]]="Sí", "Resuelto", "Pendiente")</f>
        <v>Pendiente</v>
      </c>
      <c r="AC828" s="3" t="s">
        <v>24</v>
      </c>
      <c r="AD828" s="3"/>
    </row>
    <row r="829" spans="1:30" x14ac:dyDescent="0.25">
      <c r="A829">
        <v>824</v>
      </c>
      <c r="B829" s="1">
        <v>45110</v>
      </c>
      <c r="C829" s="33">
        <f t="shared" si="24"/>
        <v>45110</v>
      </c>
      <c r="D829" s="34">
        <f t="shared" si="25"/>
        <v>45110</v>
      </c>
      <c r="E829" s="35" t="s">
        <v>1452</v>
      </c>
      <c r="F829" s="2">
        <v>0.24374999999999999</v>
      </c>
      <c r="G829" s="3" t="s">
        <v>48</v>
      </c>
      <c r="H829" s="3" t="s">
        <v>20</v>
      </c>
      <c r="I829" s="25" t="str">
        <f>VLOOKUP(H829,Tabla5[#All],4,FALSE)</f>
        <v>-31,4800162965848, -64,2094200976892</v>
      </c>
      <c r="J829" s="1">
        <v>25012</v>
      </c>
      <c r="K829" s="7">
        <f>INT((crimenes_cordoba_ampliado[[#This Row],[Fecha]]-crimenes_cordoba_ampliado[[#This Row],[Fecha Nac. Delincuente]])/365)</f>
        <v>55</v>
      </c>
      <c r="L829" s="7" t="str">
        <f>_xlfn.XLOOKUP(crimenes_cordoba_ampliado[[#This Row],[EDAD DELINCUENTE]],'Rango etareo'!$A$10:$A$25,'Rango etareo'!$B$10:$B$25,,-1)</f>
        <v>46 - 55</v>
      </c>
      <c r="M829" s="3" t="s">
        <v>22</v>
      </c>
      <c r="N829" s="3" t="str">
        <f>IF(crimenes_cordoba_ampliado[[#This Row],[Género Delincuente]]="Femenino","🚺","🚹")</f>
        <v>🚹</v>
      </c>
      <c r="O829">
        <v>2</v>
      </c>
      <c r="P829" s="1">
        <v>14789</v>
      </c>
      <c r="Q829" s="7">
        <f>INT((crimenes_cordoba_ampliado[[#This Row],[Fecha]]-crimenes_cordoba_ampliado[[#This Row],[Fecha Nac. Víctima]])/365)</f>
        <v>83</v>
      </c>
      <c r="R829" s="7" t="str">
        <f>_xlfn.XLOOKUP(crimenes_cordoba_ampliado[[#This Row],[EDAD VICTIMA]],'Rango etareo'!$A$2:$A$25,'Rango etareo'!$B$2:$B$25,,-1)</f>
        <v>&gt;65</v>
      </c>
      <c r="S829" s="3" t="s">
        <v>21</v>
      </c>
      <c r="T829" s="3" t="str">
        <f>IF(crimenes_cordoba_ampliado[[#This Row],[Género Víctima]]="Masculino","🚹","🚺")</f>
        <v>🚺</v>
      </c>
      <c r="U829">
        <v>1</v>
      </c>
      <c r="V829" s="3" t="s">
        <v>25</v>
      </c>
      <c r="W829" s="3" t="s">
        <v>24</v>
      </c>
      <c r="X829" s="3" t="s">
        <v>24</v>
      </c>
      <c r="Y829" s="3" t="s">
        <v>53</v>
      </c>
      <c r="Z829" s="3" t="s">
        <v>25</v>
      </c>
      <c r="AA829" s="3" t="s">
        <v>23</v>
      </c>
      <c r="AB829" s="3" t="str">
        <f>IF(crimenes_cordoba_ampliado[[#This Row],[Hubo Arresto]]="Sí", "Resuelto", "Pendiente")</f>
        <v>Pendiente</v>
      </c>
      <c r="AC829" s="3" t="s">
        <v>24</v>
      </c>
      <c r="AD829" s="3"/>
    </row>
    <row r="830" spans="1:30" x14ac:dyDescent="0.25">
      <c r="A830">
        <v>92</v>
      </c>
      <c r="B830" s="1">
        <v>45113</v>
      </c>
      <c r="C830" s="33">
        <f t="shared" si="24"/>
        <v>45113</v>
      </c>
      <c r="D830" s="34">
        <f t="shared" si="25"/>
        <v>45113</v>
      </c>
      <c r="E830" s="35" t="s">
        <v>1454</v>
      </c>
      <c r="F830" s="2">
        <v>0.7993055555555556</v>
      </c>
      <c r="G830" s="3" t="s">
        <v>79</v>
      </c>
      <c r="H830" s="3" t="s">
        <v>52</v>
      </c>
      <c r="I830" s="25" t="str">
        <f>VLOOKUP(H830,Tabla5[#All],4,FALSE)</f>
        <v>-31,3477902896523, -64,2644406169297</v>
      </c>
      <c r="J830" s="1">
        <v>21018</v>
      </c>
      <c r="K830" s="7">
        <f>INT((crimenes_cordoba_ampliado[[#This Row],[Fecha]]-crimenes_cordoba_ampliado[[#This Row],[Fecha Nac. Delincuente]])/365)</f>
        <v>66</v>
      </c>
      <c r="L830" s="7" t="str">
        <f>_xlfn.XLOOKUP(crimenes_cordoba_ampliado[[#This Row],[EDAD DELINCUENTE]],'Rango etareo'!$A$10:$A$25,'Rango etareo'!$B$10:$B$25,,-1)</f>
        <v>&gt;65</v>
      </c>
      <c r="M830" s="3" t="s">
        <v>21</v>
      </c>
      <c r="N830" s="3" t="str">
        <f>IF(crimenes_cordoba_ampliado[[#This Row],[Género Delincuente]]="Femenino","🚺","🚹")</f>
        <v>🚺</v>
      </c>
      <c r="O830">
        <v>4</v>
      </c>
      <c r="P830" s="1">
        <v>42095</v>
      </c>
      <c r="Q830" s="7">
        <f>INT((crimenes_cordoba_ampliado[[#This Row],[Fecha]]-crimenes_cordoba_ampliado[[#This Row],[Fecha Nac. Víctima]])/365)</f>
        <v>8</v>
      </c>
      <c r="R830" s="7" t="str">
        <f>_xlfn.XLOOKUP(crimenes_cordoba_ampliado[[#This Row],[EDAD VICTIMA]],'Rango etareo'!$A$2:$A$25,'Rango etareo'!$B$2:$B$25,,-1)</f>
        <v>&lt;=17</v>
      </c>
      <c r="S830" s="3" t="s">
        <v>22</v>
      </c>
      <c r="T830" s="3" t="str">
        <f>IF(crimenes_cordoba_ampliado[[#This Row],[Género Víctima]]="Masculino","🚹","🚺")</f>
        <v>🚹</v>
      </c>
      <c r="U830">
        <v>1</v>
      </c>
      <c r="V830" s="3" t="s">
        <v>25</v>
      </c>
      <c r="W830" s="3" t="s">
        <v>24</v>
      </c>
      <c r="X830" s="3" t="s">
        <v>24</v>
      </c>
      <c r="Y830" s="3" t="s">
        <v>24</v>
      </c>
      <c r="Z830" s="3" t="s">
        <v>25</v>
      </c>
      <c r="AA830" s="3" t="s">
        <v>25</v>
      </c>
      <c r="AB830" s="3" t="str">
        <f>IF(crimenes_cordoba_ampliado[[#This Row],[Hubo Arresto]]="Sí", "Resuelto", "Pendiente")</f>
        <v>Pendiente</v>
      </c>
      <c r="AC830" s="3" t="s">
        <v>24</v>
      </c>
      <c r="AD830" s="3"/>
    </row>
    <row r="831" spans="1:30" x14ac:dyDescent="0.25">
      <c r="A831">
        <v>801</v>
      </c>
      <c r="B831" s="1">
        <v>45113</v>
      </c>
      <c r="C831" s="33">
        <f t="shared" si="24"/>
        <v>45113</v>
      </c>
      <c r="D831" s="34">
        <f t="shared" si="25"/>
        <v>45113</v>
      </c>
      <c r="E831" s="35" t="s">
        <v>1454</v>
      </c>
      <c r="F831" s="2">
        <v>0.76666666666666672</v>
      </c>
      <c r="G831" s="3" t="s">
        <v>27</v>
      </c>
      <c r="H831" s="3" t="s">
        <v>58</v>
      </c>
      <c r="I831" s="25" t="str">
        <f>VLOOKUP(H831,Tabla5[#All],4,FALSE)</f>
        <v>-31,423018915313, -64,1493562190664</v>
      </c>
      <c r="J831" s="1">
        <v>28409</v>
      </c>
      <c r="K831" s="7">
        <f>INT((crimenes_cordoba_ampliado[[#This Row],[Fecha]]-crimenes_cordoba_ampliado[[#This Row],[Fecha Nac. Delincuente]])/365)</f>
        <v>45</v>
      </c>
      <c r="L831" s="7" t="str">
        <f>_xlfn.XLOOKUP(crimenes_cordoba_ampliado[[#This Row],[EDAD DELINCUENTE]],'Rango etareo'!$A$10:$A$25,'Rango etareo'!$B$10:$B$25,,-1)</f>
        <v>36 - 45</v>
      </c>
      <c r="M831" s="3" t="s">
        <v>22</v>
      </c>
      <c r="N831" s="3" t="str">
        <f>IF(crimenes_cordoba_ampliado[[#This Row],[Género Delincuente]]="Femenino","🚺","🚹")</f>
        <v>🚹</v>
      </c>
      <c r="O831">
        <v>4</v>
      </c>
      <c r="P831" s="1">
        <v>21162</v>
      </c>
      <c r="Q831" s="7">
        <f>INT((crimenes_cordoba_ampliado[[#This Row],[Fecha]]-crimenes_cordoba_ampliado[[#This Row],[Fecha Nac. Víctima]])/365)</f>
        <v>65</v>
      </c>
      <c r="R831" s="7" t="str">
        <f>_xlfn.XLOOKUP(crimenes_cordoba_ampliado[[#This Row],[EDAD VICTIMA]],'Rango etareo'!$A$2:$A$25,'Rango etareo'!$B$2:$B$25,,-1)</f>
        <v>&gt;65</v>
      </c>
      <c r="S831" s="3" t="s">
        <v>21</v>
      </c>
      <c r="T831" s="3" t="str">
        <f>IF(crimenes_cordoba_ampliado[[#This Row],[Género Víctima]]="Masculino","🚹","🚺")</f>
        <v>🚺</v>
      </c>
      <c r="U831">
        <v>2</v>
      </c>
      <c r="V831" s="3" t="s">
        <v>25</v>
      </c>
      <c r="W831" s="3" t="s">
        <v>36</v>
      </c>
      <c r="X831" s="3" t="s">
        <v>24</v>
      </c>
      <c r="Y831" s="3" t="s">
        <v>101</v>
      </c>
      <c r="Z831" s="3" t="s">
        <v>25</v>
      </c>
      <c r="AA831" s="3" t="s">
        <v>25</v>
      </c>
      <c r="AB831" s="3" t="str">
        <f>IF(crimenes_cordoba_ampliado[[#This Row],[Hubo Arresto]]="Sí", "Resuelto", "Pendiente")</f>
        <v>Pendiente</v>
      </c>
      <c r="AC831" s="3" t="s">
        <v>24</v>
      </c>
      <c r="AD831" s="3"/>
    </row>
    <row r="832" spans="1:30" x14ac:dyDescent="0.25">
      <c r="A832">
        <v>465</v>
      </c>
      <c r="B832" s="1">
        <v>45114</v>
      </c>
      <c r="C832" s="33">
        <f t="shared" si="24"/>
        <v>45114</v>
      </c>
      <c r="D832" s="34">
        <f t="shared" si="25"/>
        <v>45114</v>
      </c>
      <c r="E832" s="35" t="s">
        <v>1455</v>
      </c>
      <c r="F832" s="2">
        <v>0.86319444444444449</v>
      </c>
      <c r="G832" s="3" t="s">
        <v>35</v>
      </c>
      <c r="H832" s="3" t="s">
        <v>40</v>
      </c>
      <c r="I832" s="25" t="str">
        <f>VLOOKUP(H832,Tabla5[#All],4,FALSE)</f>
        <v>-31,334500143441, -64,2460773260564</v>
      </c>
      <c r="J832" s="1">
        <v>19804</v>
      </c>
      <c r="K832" s="7">
        <f>INT((crimenes_cordoba_ampliado[[#This Row],[Fecha]]-crimenes_cordoba_ampliado[[#This Row],[Fecha Nac. Delincuente]])/365)</f>
        <v>69</v>
      </c>
      <c r="L832" s="7" t="str">
        <f>_xlfn.XLOOKUP(crimenes_cordoba_ampliado[[#This Row],[EDAD DELINCUENTE]],'Rango etareo'!$A$10:$A$25,'Rango etareo'!$B$10:$B$25,,-1)</f>
        <v>&gt;65</v>
      </c>
      <c r="M832" s="3" t="s">
        <v>21</v>
      </c>
      <c r="N832" s="3" t="str">
        <f>IF(crimenes_cordoba_ampliado[[#This Row],[Género Delincuente]]="Femenino","🚺","🚹")</f>
        <v>🚺</v>
      </c>
      <c r="O832">
        <v>5</v>
      </c>
      <c r="P832" s="1">
        <v>17779</v>
      </c>
      <c r="Q832" s="7">
        <f>INT((crimenes_cordoba_ampliado[[#This Row],[Fecha]]-crimenes_cordoba_ampliado[[#This Row],[Fecha Nac. Víctima]])/365)</f>
        <v>74</v>
      </c>
      <c r="R832" s="7" t="str">
        <f>_xlfn.XLOOKUP(crimenes_cordoba_ampliado[[#This Row],[EDAD VICTIMA]],'Rango etareo'!$A$2:$A$25,'Rango etareo'!$B$2:$B$25,,-1)</f>
        <v>&gt;65</v>
      </c>
      <c r="S832" s="3" t="s">
        <v>21</v>
      </c>
      <c r="T832" s="3" t="str">
        <f>IF(crimenes_cordoba_ampliado[[#This Row],[Género Víctima]]="Masculino","🚹","🚺")</f>
        <v>🚺</v>
      </c>
      <c r="U832">
        <v>1</v>
      </c>
      <c r="V832" s="3" t="s">
        <v>25</v>
      </c>
      <c r="W832" s="3" t="s">
        <v>63</v>
      </c>
      <c r="X832" s="3" t="s">
        <v>24</v>
      </c>
      <c r="Y832" s="3" t="s">
        <v>64</v>
      </c>
      <c r="Z832" s="3" t="s">
        <v>23</v>
      </c>
      <c r="AA832" s="3" t="s">
        <v>23</v>
      </c>
      <c r="AB832" s="3" t="str">
        <f>IF(crimenes_cordoba_ampliado[[#This Row],[Hubo Arresto]]="Sí", "Resuelto", "Pendiente")</f>
        <v>Pendiente</v>
      </c>
      <c r="AC832" s="3" t="s">
        <v>24</v>
      </c>
      <c r="AD832" s="3"/>
    </row>
    <row r="833" spans="1:30" x14ac:dyDescent="0.25">
      <c r="A833">
        <v>954</v>
      </c>
      <c r="B833" s="1">
        <v>45114</v>
      </c>
      <c r="C833" s="33">
        <f t="shared" si="24"/>
        <v>45114</v>
      </c>
      <c r="D833" s="34">
        <f t="shared" si="25"/>
        <v>45114</v>
      </c>
      <c r="E833" s="35" t="s">
        <v>1455</v>
      </c>
      <c r="F833" s="2">
        <v>0.81180555555555556</v>
      </c>
      <c r="G833" s="3" t="s">
        <v>79</v>
      </c>
      <c r="H833" s="3" t="s">
        <v>40</v>
      </c>
      <c r="I833" s="25" t="str">
        <f>VLOOKUP(H833,Tabla5[#All],4,FALSE)</f>
        <v>-31,334500143441, -64,2460773260564</v>
      </c>
      <c r="J833" s="1">
        <v>37077</v>
      </c>
      <c r="K833" s="7">
        <f>INT((crimenes_cordoba_ampliado[[#This Row],[Fecha]]-crimenes_cordoba_ampliado[[#This Row],[Fecha Nac. Delincuente]])/365)</f>
        <v>22</v>
      </c>
      <c r="L833" s="7" t="str">
        <f>_xlfn.XLOOKUP(crimenes_cordoba_ampliado[[#This Row],[EDAD DELINCUENTE]],'Rango etareo'!$A$10:$A$25,'Rango etareo'!$B$10:$B$25,,-1)</f>
        <v>18 - 25</v>
      </c>
      <c r="M833" s="3" t="s">
        <v>21</v>
      </c>
      <c r="N833" s="3" t="str">
        <f>IF(crimenes_cordoba_ampliado[[#This Row],[Género Delincuente]]="Femenino","🚺","🚹")</f>
        <v>🚺</v>
      </c>
      <c r="O833">
        <v>4</v>
      </c>
      <c r="P833" s="1">
        <v>27280</v>
      </c>
      <c r="Q833" s="7">
        <f>INT((crimenes_cordoba_ampliado[[#This Row],[Fecha]]-crimenes_cordoba_ampliado[[#This Row],[Fecha Nac. Víctima]])/365)</f>
        <v>48</v>
      </c>
      <c r="R833" s="7" t="str">
        <f>_xlfn.XLOOKUP(crimenes_cordoba_ampliado[[#This Row],[EDAD VICTIMA]],'Rango etareo'!$A$2:$A$25,'Rango etareo'!$B$2:$B$25,,-1)</f>
        <v>46 - 55</v>
      </c>
      <c r="S833" s="3" t="s">
        <v>22</v>
      </c>
      <c r="T833" s="3" t="str">
        <f>IF(crimenes_cordoba_ampliado[[#This Row],[Género Víctima]]="Masculino","🚹","🚺")</f>
        <v>🚹</v>
      </c>
      <c r="U833">
        <v>1</v>
      </c>
      <c r="V833" s="3" t="s">
        <v>25</v>
      </c>
      <c r="W833" s="3" t="s">
        <v>24</v>
      </c>
      <c r="X833" s="3" t="s">
        <v>41</v>
      </c>
      <c r="Y833" s="3" t="s">
        <v>24</v>
      </c>
      <c r="Z833" s="3" t="s">
        <v>23</v>
      </c>
      <c r="AA833" s="3" t="s">
        <v>23</v>
      </c>
      <c r="AB833" s="3" t="str">
        <f>IF(crimenes_cordoba_ampliado[[#This Row],[Hubo Arresto]]="Sí", "Resuelto", "Pendiente")</f>
        <v>Pendiente</v>
      </c>
      <c r="AC833" s="3" t="s">
        <v>24</v>
      </c>
      <c r="AD833" s="3"/>
    </row>
    <row r="834" spans="1:30" x14ac:dyDescent="0.25">
      <c r="A834">
        <v>829</v>
      </c>
      <c r="B834" s="1">
        <v>43235</v>
      </c>
      <c r="C834" s="33">
        <f t="shared" ref="C834:C897" si="26">B:B</f>
        <v>43235</v>
      </c>
      <c r="D834" s="34">
        <f t="shared" ref="D834:D897" si="27">B:B</f>
        <v>43235</v>
      </c>
      <c r="E834" s="35" t="s">
        <v>1453</v>
      </c>
      <c r="F834" s="2">
        <v>0.75694444444444442</v>
      </c>
      <c r="G834" s="3" t="s">
        <v>51</v>
      </c>
      <c r="H834" s="3" t="s">
        <v>65</v>
      </c>
      <c r="I834" s="25" t="str">
        <f>VLOOKUP(H834,Tabla5[#All],4,FALSE)</f>
        <v>-31,4285567311661, -64,1853198281007</v>
      </c>
      <c r="J834" s="1">
        <v>29744</v>
      </c>
      <c r="K834" s="7">
        <f>INT((crimenes_cordoba_ampliado[[#This Row],[Fecha]]-crimenes_cordoba_ampliado[[#This Row],[Fecha Nac. Delincuente]])/365)</f>
        <v>36</v>
      </c>
      <c r="L834" s="7" t="str">
        <f>_xlfn.XLOOKUP(crimenes_cordoba_ampliado[[#This Row],[EDAD DELINCUENTE]],'Rango etareo'!$A$10:$A$25,'Rango etareo'!$B$10:$B$25,,-1)</f>
        <v>36 - 45</v>
      </c>
      <c r="M834" s="3" t="s">
        <v>21</v>
      </c>
      <c r="N834" s="3" t="str">
        <f>IF(crimenes_cordoba_ampliado[[#This Row],[Género Delincuente]]="Femenino","🚺","🚹")</f>
        <v>🚺</v>
      </c>
      <c r="O834">
        <v>3</v>
      </c>
      <c r="P834" s="1">
        <v>22697</v>
      </c>
      <c r="Q834" s="7">
        <f>INT((crimenes_cordoba_ampliado[[#This Row],[Fecha]]-crimenes_cordoba_ampliado[[#This Row],[Fecha Nac. Víctima]])/365)</f>
        <v>56</v>
      </c>
      <c r="R834" s="7" t="str">
        <f>_xlfn.XLOOKUP(crimenes_cordoba_ampliado[[#This Row],[EDAD VICTIMA]],'Rango etareo'!$A$2:$A$25,'Rango etareo'!$B$2:$B$25,,-1)</f>
        <v>56 - 65</v>
      </c>
      <c r="S834" s="3" t="s">
        <v>21</v>
      </c>
      <c r="T834" s="3" t="str">
        <f>IF(crimenes_cordoba_ampliado[[#This Row],[Género Víctima]]="Masculino","🚹","🚺")</f>
        <v>🚺</v>
      </c>
      <c r="U834">
        <v>2</v>
      </c>
      <c r="V834" s="3" t="s">
        <v>23</v>
      </c>
      <c r="W834" s="3" t="s">
        <v>71</v>
      </c>
      <c r="X834" s="3" t="s">
        <v>24</v>
      </c>
      <c r="Y834" s="3" t="s">
        <v>101</v>
      </c>
      <c r="Z834" s="3" t="s">
        <v>23</v>
      </c>
      <c r="AA834" s="3" t="s">
        <v>23</v>
      </c>
      <c r="AB834" s="3" t="str">
        <f>IF(crimenes_cordoba_ampliado[[#This Row],[Hubo Arresto]]="Sí", "Resuelto", "Pendiente")</f>
        <v>Resuelto</v>
      </c>
      <c r="AC834" s="3" t="s">
        <v>170</v>
      </c>
      <c r="AD834" s="3"/>
    </row>
    <row r="835" spans="1:30" x14ac:dyDescent="0.25">
      <c r="A835">
        <v>78</v>
      </c>
      <c r="B835" s="1">
        <v>45122</v>
      </c>
      <c r="C835" s="33">
        <f t="shared" si="26"/>
        <v>45122</v>
      </c>
      <c r="D835" s="34">
        <f t="shared" si="27"/>
        <v>45122</v>
      </c>
      <c r="E835" s="35" t="s">
        <v>1451</v>
      </c>
      <c r="F835" s="2">
        <v>0.57916666666666672</v>
      </c>
      <c r="G835" s="3" t="s">
        <v>38</v>
      </c>
      <c r="H835" s="3" t="s">
        <v>65</v>
      </c>
      <c r="I835" s="25" t="str">
        <f>VLOOKUP(H835,Tabla5[#All],4,FALSE)</f>
        <v>-31,4285567311661, -64,1853198281007</v>
      </c>
      <c r="J835" s="1">
        <v>27164</v>
      </c>
      <c r="K835" s="7">
        <f>INT((crimenes_cordoba_ampliado[[#This Row],[Fecha]]-crimenes_cordoba_ampliado[[#This Row],[Fecha Nac. Delincuente]])/365)</f>
        <v>49</v>
      </c>
      <c r="L835" s="7" t="str">
        <f>_xlfn.XLOOKUP(crimenes_cordoba_ampliado[[#This Row],[EDAD DELINCUENTE]],'Rango etareo'!$A$10:$A$25,'Rango etareo'!$B$10:$B$25,,-1)</f>
        <v>46 - 55</v>
      </c>
      <c r="M835" s="3" t="s">
        <v>22</v>
      </c>
      <c r="N835" s="3" t="str">
        <f>IF(crimenes_cordoba_ampliado[[#This Row],[Género Delincuente]]="Femenino","🚺","🚹")</f>
        <v>🚹</v>
      </c>
      <c r="O835">
        <v>5</v>
      </c>
      <c r="P835" s="1">
        <v>33421</v>
      </c>
      <c r="Q835" s="7">
        <f>INT((crimenes_cordoba_ampliado[[#This Row],[Fecha]]-crimenes_cordoba_ampliado[[#This Row],[Fecha Nac. Víctima]])/365)</f>
        <v>32</v>
      </c>
      <c r="R835" s="7" t="str">
        <f>_xlfn.XLOOKUP(crimenes_cordoba_ampliado[[#This Row],[EDAD VICTIMA]],'Rango etareo'!$A$2:$A$25,'Rango etareo'!$B$2:$B$25,,-1)</f>
        <v>26 - 35</v>
      </c>
      <c r="S835" s="3" t="s">
        <v>22</v>
      </c>
      <c r="T835" s="3" t="str">
        <f>IF(crimenes_cordoba_ampliado[[#This Row],[Género Víctima]]="Masculino","🚹","🚺")</f>
        <v>🚹</v>
      </c>
      <c r="U835">
        <v>2</v>
      </c>
      <c r="V835" s="3" t="s">
        <v>25</v>
      </c>
      <c r="W835" s="3" t="s">
        <v>24</v>
      </c>
      <c r="X835" s="3" t="s">
        <v>24</v>
      </c>
      <c r="Y835" s="3" t="s">
        <v>56</v>
      </c>
      <c r="Z835" s="3" t="s">
        <v>25</v>
      </c>
      <c r="AA835" s="3" t="s">
        <v>25</v>
      </c>
      <c r="AB835" s="3" t="str">
        <f>IF(crimenes_cordoba_ampliado[[#This Row],[Hubo Arresto]]="Sí", "Resuelto", "Pendiente")</f>
        <v>Pendiente</v>
      </c>
      <c r="AC835" s="3" t="s">
        <v>24</v>
      </c>
      <c r="AD835" s="3"/>
    </row>
    <row r="836" spans="1:30" x14ac:dyDescent="0.25">
      <c r="A836">
        <v>830</v>
      </c>
      <c r="B836" s="1">
        <v>44959</v>
      </c>
      <c r="C836" s="33">
        <f t="shared" si="26"/>
        <v>44959</v>
      </c>
      <c r="D836" s="34">
        <f t="shared" si="27"/>
        <v>44959</v>
      </c>
      <c r="E836" s="35" t="s">
        <v>1454</v>
      </c>
      <c r="F836" s="2">
        <v>0.77916666666666667</v>
      </c>
      <c r="G836" s="3" t="s">
        <v>51</v>
      </c>
      <c r="H836" s="3" t="s">
        <v>60</v>
      </c>
      <c r="I836" s="25" t="str">
        <f>VLOOKUP(H836,Tabla5[#All],4,FALSE)</f>
        <v>-31,4076397196409, -64,2020170430678</v>
      </c>
      <c r="J836" s="1">
        <v>18409</v>
      </c>
      <c r="K836" s="7">
        <f>INT((crimenes_cordoba_ampliado[[#This Row],[Fecha]]-crimenes_cordoba_ampliado[[#This Row],[Fecha Nac. Delincuente]])/365)</f>
        <v>72</v>
      </c>
      <c r="L836" s="7" t="str">
        <f>_xlfn.XLOOKUP(crimenes_cordoba_ampliado[[#This Row],[EDAD DELINCUENTE]],'Rango etareo'!$A$10:$A$25,'Rango etareo'!$B$10:$B$25,,-1)</f>
        <v>&gt;65</v>
      </c>
      <c r="M836" s="3" t="s">
        <v>21</v>
      </c>
      <c r="N836" s="3" t="str">
        <f>IF(crimenes_cordoba_ampliado[[#This Row],[Género Delincuente]]="Femenino","🚺","🚹")</f>
        <v>🚺</v>
      </c>
      <c r="O836">
        <v>4</v>
      </c>
      <c r="P836" s="1">
        <v>19085</v>
      </c>
      <c r="Q836" s="7">
        <f>INT((crimenes_cordoba_ampliado[[#This Row],[Fecha]]-crimenes_cordoba_ampliado[[#This Row],[Fecha Nac. Víctima]])/365)</f>
        <v>70</v>
      </c>
      <c r="R836" s="7" t="str">
        <f>_xlfn.XLOOKUP(crimenes_cordoba_ampliado[[#This Row],[EDAD VICTIMA]],'Rango etareo'!$A$2:$A$25,'Rango etareo'!$B$2:$B$25,,-1)</f>
        <v>&gt;65</v>
      </c>
      <c r="S836" s="3" t="s">
        <v>22</v>
      </c>
      <c r="T836" s="3" t="str">
        <f>IF(crimenes_cordoba_ampliado[[#This Row],[Género Víctima]]="Masculino","🚹","🚺")</f>
        <v>🚹</v>
      </c>
      <c r="U836">
        <v>1</v>
      </c>
      <c r="V836" s="3" t="s">
        <v>23</v>
      </c>
      <c r="W836" s="3" t="s">
        <v>71</v>
      </c>
      <c r="X836" s="3" t="s">
        <v>29</v>
      </c>
      <c r="Y836" s="3" t="s">
        <v>24</v>
      </c>
      <c r="Z836" s="3" t="s">
        <v>25</v>
      </c>
      <c r="AA836" s="3" t="s">
        <v>25</v>
      </c>
      <c r="AB836" s="3" t="str">
        <f>IF(crimenes_cordoba_ampliado[[#This Row],[Hubo Arresto]]="Sí", "Resuelto", "Pendiente")</f>
        <v>Resuelto</v>
      </c>
      <c r="AC836" s="3" t="s">
        <v>293</v>
      </c>
      <c r="AD836" s="3"/>
    </row>
    <row r="837" spans="1:30" x14ac:dyDescent="0.25">
      <c r="A837">
        <v>913</v>
      </c>
      <c r="B837" s="1">
        <v>45124</v>
      </c>
      <c r="C837" s="33">
        <f t="shared" si="26"/>
        <v>45124</v>
      </c>
      <c r="D837" s="34">
        <f t="shared" si="27"/>
        <v>45124</v>
      </c>
      <c r="E837" s="35" t="s">
        <v>1452</v>
      </c>
      <c r="F837" s="2">
        <v>0.67847222222222225</v>
      </c>
      <c r="G837" s="3" t="s">
        <v>38</v>
      </c>
      <c r="H837" s="3" t="s">
        <v>32</v>
      </c>
      <c r="I837" s="25" t="str">
        <f>VLOOKUP(H837,Tabla5[#All],4,FALSE)</f>
        <v>-31,4148488101991, -64,1793406489438</v>
      </c>
      <c r="J837" s="1">
        <v>23542</v>
      </c>
      <c r="K837" s="7">
        <f>INT((crimenes_cordoba_ampliado[[#This Row],[Fecha]]-crimenes_cordoba_ampliado[[#This Row],[Fecha Nac. Delincuente]])/365)</f>
        <v>59</v>
      </c>
      <c r="L837" s="7" t="str">
        <f>_xlfn.XLOOKUP(crimenes_cordoba_ampliado[[#This Row],[EDAD DELINCUENTE]],'Rango etareo'!$A$10:$A$25,'Rango etareo'!$B$10:$B$25,,-1)</f>
        <v>56 - 65</v>
      </c>
      <c r="M837" s="3" t="s">
        <v>22</v>
      </c>
      <c r="N837" s="3" t="str">
        <f>IF(crimenes_cordoba_ampliado[[#This Row],[Género Delincuente]]="Femenino","🚺","🚹")</f>
        <v>🚹</v>
      </c>
      <c r="O837">
        <v>1</v>
      </c>
      <c r="P837" s="1">
        <v>31240</v>
      </c>
      <c r="Q837" s="7">
        <f>INT((crimenes_cordoba_ampliado[[#This Row],[Fecha]]-crimenes_cordoba_ampliado[[#This Row],[Fecha Nac. Víctima]])/365)</f>
        <v>38</v>
      </c>
      <c r="R837" s="7" t="str">
        <f>_xlfn.XLOOKUP(crimenes_cordoba_ampliado[[#This Row],[EDAD VICTIMA]],'Rango etareo'!$A$2:$A$25,'Rango etareo'!$B$2:$B$25,,-1)</f>
        <v>36 - 45</v>
      </c>
      <c r="S837" s="3" t="s">
        <v>22</v>
      </c>
      <c r="T837" s="3" t="str">
        <f>IF(crimenes_cordoba_ampliado[[#This Row],[Género Víctima]]="Masculino","🚹","🚺")</f>
        <v>🚹</v>
      </c>
      <c r="U837">
        <v>1</v>
      </c>
      <c r="V837" s="3" t="s">
        <v>25</v>
      </c>
      <c r="W837" s="3" t="s">
        <v>24</v>
      </c>
      <c r="X837" s="3" t="s">
        <v>24</v>
      </c>
      <c r="Y837" s="3" t="s">
        <v>89</v>
      </c>
      <c r="Z837" s="3" t="s">
        <v>25</v>
      </c>
      <c r="AA837" s="3" t="s">
        <v>23</v>
      </c>
      <c r="AB837" s="3" t="str">
        <f>IF(crimenes_cordoba_ampliado[[#This Row],[Hubo Arresto]]="Sí", "Resuelto", "Pendiente")</f>
        <v>Pendiente</v>
      </c>
      <c r="AC837" s="3" t="s">
        <v>24</v>
      </c>
      <c r="AD837" s="3"/>
    </row>
    <row r="838" spans="1:30" x14ac:dyDescent="0.25">
      <c r="A838">
        <v>248</v>
      </c>
      <c r="B838" s="1">
        <v>45136</v>
      </c>
      <c r="C838" s="33">
        <f t="shared" si="26"/>
        <v>45136</v>
      </c>
      <c r="D838" s="34">
        <f t="shared" si="27"/>
        <v>45136</v>
      </c>
      <c r="E838" s="35" t="s">
        <v>1451</v>
      </c>
      <c r="F838" s="2">
        <v>0.72847222222222219</v>
      </c>
      <c r="G838" s="3" t="s">
        <v>51</v>
      </c>
      <c r="H838" s="3" t="s">
        <v>60</v>
      </c>
      <c r="I838" s="25" t="str">
        <f>VLOOKUP(H838,Tabla5[#All],4,FALSE)</f>
        <v>-31,4076397196409, -64,2020170430678</v>
      </c>
      <c r="J838" s="1">
        <v>34307</v>
      </c>
      <c r="K838" s="7">
        <f>INT((crimenes_cordoba_ampliado[[#This Row],[Fecha]]-crimenes_cordoba_ampliado[[#This Row],[Fecha Nac. Delincuente]])/365)</f>
        <v>29</v>
      </c>
      <c r="L838" s="7" t="str">
        <f>_xlfn.XLOOKUP(crimenes_cordoba_ampliado[[#This Row],[EDAD DELINCUENTE]],'Rango etareo'!$A$10:$A$25,'Rango etareo'!$B$10:$B$25,,-1)</f>
        <v>26 - 35</v>
      </c>
      <c r="M838" s="3" t="s">
        <v>21</v>
      </c>
      <c r="N838" s="3" t="str">
        <f>IF(crimenes_cordoba_ampliado[[#This Row],[Género Delincuente]]="Femenino","🚺","🚹")</f>
        <v>🚺</v>
      </c>
      <c r="O838">
        <v>1</v>
      </c>
      <c r="P838" s="1">
        <v>18006</v>
      </c>
      <c r="Q838" s="7">
        <f>INT((crimenes_cordoba_ampliado[[#This Row],[Fecha]]-crimenes_cordoba_ampliado[[#This Row],[Fecha Nac. Víctima]])/365)</f>
        <v>74</v>
      </c>
      <c r="R838" s="7" t="str">
        <f>_xlfn.XLOOKUP(crimenes_cordoba_ampliado[[#This Row],[EDAD VICTIMA]],'Rango etareo'!$A$2:$A$25,'Rango etareo'!$B$2:$B$25,,-1)</f>
        <v>&gt;65</v>
      </c>
      <c r="S838" s="3" t="s">
        <v>22</v>
      </c>
      <c r="T838" s="3" t="str">
        <f>IF(crimenes_cordoba_ampliado[[#This Row],[Género Víctima]]="Masculino","🚹","🚺")</f>
        <v>🚹</v>
      </c>
      <c r="U838">
        <v>1</v>
      </c>
      <c r="V838" s="3" t="s">
        <v>25</v>
      </c>
      <c r="W838" s="3" t="s">
        <v>24</v>
      </c>
      <c r="X838" s="3" t="s">
        <v>24</v>
      </c>
      <c r="Y838" s="3" t="s">
        <v>69</v>
      </c>
      <c r="Z838" s="3" t="s">
        <v>25</v>
      </c>
      <c r="AA838" s="3" t="s">
        <v>25</v>
      </c>
      <c r="AB838" s="3" t="str">
        <f>IF(crimenes_cordoba_ampliado[[#This Row],[Hubo Arresto]]="Sí", "Resuelto", "Pendiente")</f>
        <v>Pendiente</v>
      </c>
      <c r="AC838" s="3" t="s">
        <v>24</v>
      </c>
      <c r="AD838" s="3"/>
    </row>
    <row r="839" spans="1:30" x14ac:dyDescent="0.25">
      <c r="A839">
        <v>445</v>
      </c>
      <c r="B839" s="1">
        <v>45138</v>
      </c>
      <c r="C839" s="33">
        <f t="shared" si="26"/>
        <v>45138</v>
      </c>
      <c r="D839" s="34">
        <f t="shared" si="27"/>
        <v>45138</v>
      </c>
      <c r="E839" s="35" t="s">
        <v>1452</v>
      </c>
      <c r="F839" s="2">
        <v>0.72569444444444442</v>
      </c>
      <c r="G839" s="3" t="s">
        <v>45</v>
      </c>
      <c r="H839" s="3" t="s">
        <v>62</v>
      </c>
      <c r="I839" s="25" t="str">
        <f>VLOOKUP(H839,Tabla5[#All],4,FALSE)</f>
        <v>-31,3909520937826, -64,1836424491715</v>
      </c>
      <c r="J839" s="1">
        <v>24734</v>
      </c>
      <c r="K839" s="7">
        <f>INT((crimenes_cordoba_ampliado[[#This Row],[Fecha]]-crimenes_cordoba_ampliado[[#This Row],[Fecha Nac. Delincuente]])/365)</f>
        <v>55</v>
      </c>
      <c r="L839" s="7" t="str">
        <f>_xlfn.XLOOKUP(crimenes_cordoba_ampliado[[#This Row],[EDAD DELINCUENTE]],'Rango etareo'!$A$10:$A$25,'Rango etareo'!$B$10:$B$25,,-1)</f>
        <v>46 - 55</v>
      </c>
      <c r="M839" s="3" t="s">
        <v>21</v>
      </c>
      <c r="N839" s="3" t="str">
        <f>IF(crimenes_cordoba_ampliado[[#This Row],[Género Delincuente]]="Femenino","🚺","🚹")</f>
        <v>🚺</v>
      </c>
      <c r="O839">
        <v>4</v>
      </c>
      <c r="P839" s="1">
        <v>27824</v>
      </c>
      <c r="Q839" s="7">
        <f>INT((crimenes_cordoba_ampliado[[#This Row],[Fecha]]-crimenes_cordoba_ampliado[[#This Row],[Fecha Nac. Víctima]])/365)</f>
        <v>47</v>
      </c>
      <c r="R839" s="7" t="str">
        <f>_xlfn.XLOOKUP(crimenes_cordoba_ampliado[[#This Row],[EDAD VICTIMA]],'Rango etareo'!$A$2:$A$25,'Rango etareo'!$B$2:$B$25,,-1)</f>
        <v>46 - 55</v>
      </c>
      <c r="S839" s="3" t="s">
        <v>21</v>
      </c>
      <c r="T839" s="3" t="str">
        <f>IF(crimenes_cordoba_ampliado[[#This Row],[Género Víctima]]="Masculino","🚹","🚺")</f>
        <v>🚺</v>
      </c>
      <c r="U839">
        <v>3</v>
      </c>
      <c r="V839" s="3" t="s">
        <v>25</v>
      </c>
      <c r="W839" s="3" t="s">
        <v>24</v>
      </c>
      <c r="X839" s="3" t="s">
        <v>24</v>
      </c>
      <c r="Y839" s="3" t="s">
        <v>39</v>
      </c>
      <c r="Z839" s="3" t="s">
        <v>25</v>
      </c>
      <c r="AA839" s="3" t="s">
        <v>23</v>
      </c>
      <c r="AB839" s="3" t="str">
        <f>IF(crimenes_cordoba_ampliado[[#This Row],[Hubo Arresto]]="Sí", "Resuelto", "Pendiente")</f>
        <v>Pendiente</v>
      </c>
      <c r="AC839" s="3" t="s">
        <v>24</v>
      </c>
      <c r="AD839" s="3"/>
    </row>
    <row r="840" spans="1:30" x14ac:dyDescent="0.25">
      <c r="A840">
        <v>834</v>
      </c>
      <c r="B840" s="1">
        <v>45052</v>
      </c>
      <c r="C840" s="33">
        <f t="shared" si="26"/>
        <v>45052</v>
      </c>
      <c r="D840" s="34">
        <f t="shared" si="27"/>
        <v>45052</v>
      </c>
      <c r="E840" s="35" t="s">
        <v>1451</v>
      </c>
      <c r="F840" s="2">
        <v>0.67361111111111116</v>
      </c>
      <c r="G840" s="3" t="s">
        <v>31</v>
      </c>
      <c r="H840" s="3" t="s">
        <v>49</v>
      </c>
      <c r="I840" s="25" t="str">
        <f>VLOOKUP(H840,Tabla5[#All],4,FALSE)</f>
        <v>-31,4506257494184, -64,1733054344705</v>
      </c>
      <c r="J840" s="1">
        <v>37000</v>
      </c>
      <c r="K840" s="7">
        <f>INT((crimenes_cordoba_ampliado[[#This Row],[Fecha]]-crimenes_cordoba_ampliado[[#This Row],[Fecha Nac. Delincuente]])/365)</f>
        <v>22</v>
      </c>
      <c r="L840" s="7" t="str">
        <f>_xlfn.XLOOKUP(crimenes_cordoba_ampliado[[#This Row],[EDAD DELINCUENTE]],'Rango etareo'!$A$10:$A$25,'Rango etareo'!$B$10:$B$25,,-1)</f>
        <v>18 - 25</v>
      </c>
      <c r="M840" s="3" t="s">
        <v>21</v>
      </c>
      <c r="N840" s="3" t="str">
        <f>IF(crimenes_cordoba_ampliado[[#This Row],[Género Delincuente]]="Femenino","🚺","🚹")</f>
        <v>🚺</v>
      </c>
      <c r="O840">
        <v>3</v>
      </c>
      <c r="P840" s="1">
        <v>40337</v>
      </c>
      <c r="Q840" s="7">
        <f>INT((crimenes_cordoba_ampliado[[#This Row],[Fecha]]-crimenes_cordoba_ampliado[[#This Row],[Fecha Nac. Víctima]])/365)</f>
        <v>12</v>
      </c>
      <c r="R840" s="7" t="str">
        <f>_xlfn.XLOOKUP(crimenes_cordoba_ampliado[[#This Row],[EDAD VICTIMA]],'Rango etareo'!$A$2:$A$25,'Rango etareo'!$B$2:$B$25,,-1)</f>
        <v>&lt;=17</v>
      </c>
      <c r="S840" s="3" t="s">
        <v>22</v>
      </c>
      <c r="T840" s="3" t="str">
        <f>IF(crimenes_cordoba_ampliado[[#This Row],[Género Víctima]]="Masculino","🚹","🚺")</f>
        <v>🚹</v>
      </c>
      <c r="U840">
        <v>1</v>
      </c>
      <c r="V840" s="3" t="s">
        <v>23</v>
      </c>
      <c r="W840" s="3" t="s">
        <v>24</v>
      </c>
      <c r="X840" s="3" t="s">
        <v>24</v>
      </c>
      <c r="Y840" s="3" t="s">
        <v>72</v>
      </c>
      <c r="Z840" s="3" t="s">
        <v>23</v>
      </c>
      <c r="AA840" s="3" t="s">
        <v>25</v>
      </c>
      <c r="AB840" s="3" t="str">
        <f>IF(crimenes_cordoba_ampliado[[#This Row],[Hubo Arresto]]="Sí", "Resuelto", "Pendiente")</f>
        <v>Resuelto</v>
      </c>
      <c r="AC840" s="3" t="s">
        <v>308</v>
      </c>
      <c r="AD840" s="3"/>
    </row>
    <row r="841" spans="1:30" x14ac:dyDescent="0.25">
      <c r="A841">
        <v>979</v>
      </c>
      <c r="B841" s="1">
        <v>45143</v>
      </c>
      <c r="C841" s="33">
        <f t="shared" si="26"/>
        <v>45143</v>
      </c>
      <c r="D841" s="34">
        <f t="shared" si="27"/>
        <v>45143</v>
      </c>
      <c r="E841" s="35" t="s">
        <v>1451</v>
      </c>
      <c r="F841" s="2">
        <v>0.57291666666666663</v>
      </c>
      <c r="G841" s="3" t="s">
        <v>51</v>
      </c>
      <c r="H841" s="3" t="s">
        <v>65</v>
      </c>
      <c r="I841" s="25" t="str">
        <f>VLOOKUP(H841,Tabla5[#All],4,FALSE)</f>
        <v>-31,4285567311661, -64,1853198281007</v>
      </c>
      <c r="J841" s="1">
        <v>28694</v>
      </c>
      <c r="K841" s="7">
        <f>INT((crimenes_cordoba_ampliado[[#This Row],[Fecha]]-crimenes_cordoba_ampliado[[#This Row],[Fecha Nac. Delincuente]])/365)</f>
        <v>45</v>
      </c>
      <c r="L841" s="7" t="str">
        <f>_xlfn.XLOOKUP(crimenes_cordoba_ampliado[[#This Row],[EDAD DELINCUENTE]],'Rango etareo'!$A$10:$A$25,'Rango etareo'!$B$10:$B$25,,-1)</f>
        <v>36 - 45</v>
      </c>
      <c r="M841" s="3" t="s">
        <v>22</v>
      </c>
      <c r="N841" s="3" t="str">
        <f>IF(crimenes_cordoba_ampliado[[#This Row],[Género Delincuente]]="Femenino","🚺","🚹")</f>
        <v>🚹</v>
      </c>
      <c r="O841">
        <v>4</v>
      </c>
      <c r="P841" s="1">
        <v>42251</v>
      </c>
      <c r="Q841" s="7">
        <f>INT((crimenes_cordoba_ampliado[[#This Row],[Fecha]]-crimenes_cordoba_ampliado[[#This Row],[Fecha Nac. Víctima]])/365)</f>
        <v>7</v>
      </c>
      <c r="R841" s="7" t="str">
        <f>_xlfn.XLOOKUP(crimenes_cordoba_ampliado[[#This Row],[EDAD VICTIMA]],'Rango etareo'!$A$2:$A$25,'Rango etareo'!$B$2:$B$25,,-1)</f>
        <v>&lt;=17</v>
      </c>
      <c r="S841" s="3" t="s">
        <v>22</v>
      </c>
      <c r="T841" s="3" t="str">
        <f>IF(crimenes_cordoba_ampliado[[#This Row],[Género Víctima]]="Masculino","🚹","🚺")</f>
        <v>🚹</v>
      </c>
      <c r="U841">
        <v>3</v>
      </c>
      <c r="V841" s="3" t="s">
        <v>25</v>
      </c>
      <c r="W841" s="3" t="s">
        <v>24</v>
      </c>
      <c r="X841" s="3" t="s">
        <v>41</v>
      </c>
      <c r="Y841" s="3" t="s">
        <v>24</v>
      </c>
      <c r="Z841" s="3" t="s">
        <v>25</v>
      </c>
      <c r="AA841" s="3" t="s">
        <v>25</v>
      </c>
      <c r="AB841" s="3" t="str">
        <f>IF(crimenes_cordoba_ampliado[[#This Row],[Hubo Arresto]]="Sí", "Resuelto", "Pendiente")</f>
        <v>Pendiente</v>
      </c>
      <c r="AC841" s="3" t="s">
        <v>24</v>
      </c>
      <c r="AD841" s="3"/>
    </row>
    <row r="842" spans="1:30" x14ac:dyDescent="0.25">
      <c r="A842">
        <v>838</v>
      </c>
      <c r="B842" s="1">
        <v>45031</v>
      </c>
      <c r="C842" s="33">
        <f t="shared" si="26"/>
        <v>45031</v>
      </c>
      <c r="D842" s="34">
        <f t="shared" si="27"/>
        <v>45031</v>
      </c>
      <c r="E842" s="35" t="s">
        <v>1451</v>
      </c>
      <c r="F842" s="2">
        <v>0.82708333333333328</v>
      </c>
      <c r="G842" s="3" t="s">
        <v>81</v>
      </c>
      <c r="H842" s="3" t="s">
        <v>49</v>
      </c>
      <c r="I842" s="25" t="str">
        <f>VLOOKUP(H842,Tabla5[#All],4,FALSE)</f>
        <v>-31,4506257494184, -64,1733054344705</v>
      </c>
      <c r="J842" s="1">
        <v>30970</v>
      </c>
      <c r="K842" s="7">
        <f>INT((crimenes_cordoba_ampliado[[#This Row],[Fecha]]-crimenes_cordoba_ampliado[[#This Row],[Fecha Nac. Delincuente]])/365)</f>
        <v>38</v>
      </c>
      <c r="L842" s="7" t="str">
        <f>_xlfn.XLOOKUP(crimenes_cordoba_ampliado[[#This Row],[EDAD DELINCUENTE]],'Rango etareo'!$A$10:$A$25,'Rango etareo'!$B$10:$B$25,,-1)</f>
        <v>36 - 45</v>
      </c>
      <c r="M842" s="3" t="s">
        <v>21</v>
      </c>
      <c r="N842" s="3" t="str">
        <f>IF(crimenes_cordoba_ampliado[[#This Row],[Género Delincuente]]="Femenino","🚺","🚹")</f>
        <v>🚺</v>
      </c>
      <c r="O842">
        <v>3</v>
      </c>
      <c r="P842" s="1">
        <v>32686</v>
      </c>
      <c r="Q842" s="7">
        <f>INT((crimenes_cordoba_ampliado[[#This Row],[Fecha]]-crimenes_cordoba_ampliado[[#This Row],[Fecha Nac. Víctima]])/365)</f>
        <v>33</v>
      </c>
      <c r="R842" s="7" t="str">
        <f>_xlfn.XLOOKUP(crimenes_cordoba_ampliado[[#This Row],[EDAD VICTIMA]],'Rango etareo'!$A$2:$A$25,'Rango etareo'!$B$2:$B$25,,-1)</f>
        <v>26 - 35</v>
      </c>
      <c r="S842" s="3" t="s">
        <v>21</v>
      </c>
      <c r="T842" s="3" t="str">
        <f>IF(crimenes_cordoba_ampliado[[#This Row],[Género Víctima]]="Masculino","🚹","🚺")</f>
        <v>🚺</v>
      </c>
      <c r="U842">
        <v>3</v>
      </c>
      <c r="V842" s="3" t="s">
        <v>23</v>
      </c>
      <c r="W842" s="3" t="s">
        <v>24</v>
      </c>
      <c r="X842" s="3" t="s">
        <v>24</v>
      </c>
      <c r="Y842" s="3" t="s">
        <v>98</v>
      </c>
      <c r="Z842" s="3" t="s">
        <v>25</v>
      </c>
      <c r="AA842" s="3" t="s">
        <v>25</v>
      </c>
      <c r="AB842" s="3" t="str">
        <f>IF(crimenes_cordoba_ampliado[[#This Row],[Hubo Arresto]]="Sí", "Resuelto", "Pendiente")</f>
        <v>Resuelto</v>
      </c>
      <c r="AC842" s="3" t="s">
        <v>120</v>
      </c>
      <c r="AD842" s="3"/>
    </row>
    <row r="843" spans="1:30" x14ac:dyDescent="0.25">
      <c r="A843">
        <v>930</v>
      </c>
      <c r="B843" s="1">
        <v>45157</v>
      </c>
      <c r="C843" s="33">
        <f t="shared" si="26"/>
        <v>45157</v>
      </c>
      <c r="D843" s="34">
        <f t="shared" si="27"/>
        <v>45157</v>
      </c>
      <c r="E843" s="35" t="s">
        <v>1451</v>
      </c>
      <c r="F843" s="2">
        <v>0.79861111111111116</v>
      </c>
      <c r="G843" s="3" t="s">
        <v>38</v>
      </c>
      <c r="H843" s="3" t="s">
        <v>70</v>
      </c>
      <c r="I843" s="25" t="str">
        <f>VLOOKUP(H843,Tabla5[#All],4,FALSE)</f>
        <v>-31,3759272890294, -64,2284587792478</v>
      </c>
      <c r="J843" s="1">
        <v>25735</v>
      </c>
      <c r="K843" s="7">
        <f>INT((crimenes_cordoba_ampliado[[#This Row],[Fecha]]-crimenes_cordoba_ampliado[[#This Row],[Fecha Nac. Delincuente]])/365)</f>
        <v>53</v>
      </c>
      <c r="L843" s="7" t="str">
        <f>_xlfn.XLOOKUP(crimenes_cordoba_ampliado[[#This Row],[EDAD DELINCUENTE]],'Rango etareo'!$A$10:$A$25,'Rango etareo'!$B$10:$B$25,,-1)</f>
        <v>46 - 55</v>
      </c>
      <c r="M843" s="3" t="s">
        <v>22</v>
      </c>
      <c r="N843" s="3" t="str">
        <f>IF(crimenes_cordoba_ampliado[[#This Row],[Género Delincuente]]="Femenino","🚺","🚹")</f>
        <v>🚹</v>
      </c>
      <c r="O843">
        <v>5</v>
      </c>
      <c r="P843" s="1">
        <v>21881</v>
      </c>
      <c r="Q843" s="7">
        <f>INT((crimenes_cordoba_ampliado[[#This Row],[Fecha]]-crimenes_cordoba_ampliado[[#This Row],[Fecha Nac. Víctima]])/365)</f>
        <v>63</v>
      </c>
      <c r="R843" s="7" t="str">
        <f>_xlfn.XLOOKUP(crimenes_cordoba_ampliado[[#This Row],[EDAD VICTIMA]],'Rango etareo'!$A$2:$A$25,'Rango etareo'!$B$2:$B$25,,-1)</f>
        <v>56 - 65</v>
      </c>
      <c r="S843" s="3" t="s">
        <v>21</v>
      </c>
      <c r="T843" s="3" t="str">
        <f>IF(crimenes_cordoba_ampliado[[#This Row],[Género Víctima]]="Masculino","🚹","🚺")</f>
        <v>🚺</v>
      </c>
      <c r="U843">
        <v>2</v>
      </c>
      <c r="V843" s="3" t="s">
        <v>25</v>
      </c>
      <c r="W843" s="3" t="s">
        <v>24</v>
      </c>
      <c r="X843" s="3" t="s">
        <v>24</v>
      </c>
      <c r="Y843" s="3" t="s">
        <v>106</v>
      </c>
      <c r="Z843" s="3" t="s">
        <v>23</v>
      </c>
      <c r="AA843" s="3" t="s">
        <v>23</v>
      </c>
      <c r="AB843" s="3" t="str">
        <f>IF(crimenes_cordoba_ampliado[[#This Row],[Hubo Arresto]]="Sí", "Resuelto", "Pendiente")</f>
        <v>Pendiente</v>
      </c>
      <c r="AC843" s="3" t="s">
        <v>24</v>
      </c>
      <c r="AD843" s="3"/>
    </row>
    <row r="844" spans="1:30" x14ac:dyDescent="0.25">
      <c r="A844">
        <v>413</v>
      </c>
      <c r="B844" s="1">
        <v>45159</v>
      </c>
      <c r="C844" s="33">
        <f t="shared" si="26"/>
        <v>45159</v>
      </c>
      <c r="D844" s="34">
        <f t="shared" si="27"/>
        <v>45159</v>
      </c>
      <c r="E844" s="35" t="s">
        <v>1452</v>
      </c>
      <c r="F844" s="2">
        <v>0.85069444444444442</v>
      </c>
      <c r="G844" s="3" t="s">
        <v>48</v>
      </c>
      <c r="H844" s="3" t="s">
        <v>20</v>
      </c>
      <c r="I844" s="25" t="str">
        <f>VLOOKUP(H844,Tabla5[#All],4,FALSE)</f>
        <v>-31,4800162965848, -64,2094200976892</v>
      </c>
      <c r="J844" s="1">
        <v>21741</v>
      </c>
      <c r="K844" s="7">
        <f>INT((crimenes_cordoba_ampliado[[#This Row],[Fecha]]-crimenes_cordoba_ampliado[[#This Row],[Fecha Nac. Delincuente]])/365)</f>
        <v>64</v>
      </c>
      <c r="L844" s="7" t="str">
        <f>_xlfn.XLOOKUP(crimenes_cordoba_ampliado[[#This Row],[EDAD DELINCUENTE]],'Rango etareo'!$A$10:$A$25,'Rango etareo'!$B$10:$B$25,,-1)</f>
        <v>56 - 65</v>
      </c>
      <c r="M844" s="3" t="s">
        <v>21</v>
      </c>
      <c r="N844" s="3" t="str">
        <f>IF(crimenes_cordoba_ampliado[[#This Row],[Género Delincuente]]="Femenino","🚺","🚹")</f>
        <v>🚺</v>
      </c>
      <c r="O844">
        <v>3</v>
      </c>
      <c r="P844" s="1">
        <v>39518</v>
      </c>
      <c r="Q844" s="7">
        <f>INT((crimenes_cordoba_ampliado[[#This Row],[Fecha]]-crimenes_cordoba_ampliado[[#This Row],[Fecha Nac. Víctima]])/365)</f>
        <v>15</v>
      </c>
      <c r="R844" s="7" t="str">
        <f>_xlfn.XLOOKUP(crimenes_cordoba_ampliado[[#This Row],[EDAD VICTIMA]],'Rango etareo'!$A$2:$A$25,'Rango etareo'!$B$2:$B$25,,-1)</f>
        <v>&lt;=17</v>
      </c>
      <c r="S844" s="3" t="s">
        <v>21</v>
      </c>
      <c r="T844" s="3" t="str">
        <f>IF(crimenes_cordoba_ampliado[[#This Row],[Género Víctima]]="Masculino","🚹","🚺")</f>
        <v>🚺</v>
      </c>
      <c r="U844">
        <v>3</v>
      </c>
      <c r="V844" s="3" t="s">
        <v>25</v>
      </c>
      <c r="W844" s="3" t="s">
        <v>83</v>
      </c>
      <c r="X844" s="3" t="s">
        <v>24</v>
      </c>
      <c r="Y844" s="3" t="s">
        <v>77</v>
      </c>
      <c r="Z844" s="3" t="s">
        <v>25</v>
      </c>
      <c r="AA844" s="3" t="s">
        <v>25</v>
      </c>
      <c r="AB844" s="3" t="str">
        <f>IF(crimenes_cordoba_ampliado[[#This Row],[Hubo Arresto]]="Sí", "Resuelto", "Pendiente")</f>
        <v>Pendiente</v>
      </c>
      <c r="AC844" s="3" t="s">
        <v>24</v>
      </c>
      <c r="AD844" s="3"/>
    </row>
    <row r="845" spans="1:30" x14ac:dyDescent="0.25">
      <c r="A845">
        <v>840</v>
      </c>
      <c r="B845" s="1">
        <v>42118</v>
      </c>
      <c r="C845" s="33">
        <f t="shared" si="26"/>
        <v>42118</v>
      </c>
      <c r="D845" s="34">
        <f t="shared" si="27"/>
        <v>42118</v>
      </c>
      <c r="E845" s="35" t="s">
        <v>1455</v>
      </c>
      <c r="F845" s="2">
        <v>0.8979166666666667</v>
      </c>
      <c r="G845" s="3" t="s">
        <v>51</v>
      </c>
      <c r="H845" s="3" t="s">
        <v>58</v>
      </c>
      <c r="I845" s="25" t="str">
        <f>VLOOKUP(H845,Tabla5[#All],4,FALSE)</f>
        <v>-31,423018915313, -64,1493562190664</v>
      </c>
      <c r="J845" s="1">
        <v>23622</v>
      </c>
      <c r="K845" s="7">
        <f>INT((crimenes_cordoba_ampliado[[#This Row],[Fecha]]-crimenes_cordoba_ampliado[[#This Row],[Fecha Nac. Delincuente]])/365)</f>
        <v>50</v>
      </c>
      <c r="L845" s="7" t="str">
        <f>_xlfn.XLOOKUP(crimenes_cordoba_ampliado[[#This Row],[EDAD DELINCUENTE]],'Rango etareo'!$A$10:$A$25,'Rango etareo'!$B$10:$B$25,,-1)</f>
        <v>46 - 55</v>
      </c>
      <c r="M845" s="3" t="s">
        <v>21</v>
      </c>
      <c r="N845" s="3" t="str">
        <f>IF(crimenes_cordoba_ampliado[[#This Row],[Género Delincuente]]="Femenino","🚺","🚹")</f>
        <v>🚺</v>
      </c>
      <c r="O845">
        <v>5</v>
      </c>
      <c r="P845" s="1">
        <v>21042</v>
      </c>
      <c r="Q845" s="7">
        <f>INT((crimenes_cordoba_ampliado[[#This Row],[Fecha]]-crimenes_cordoba_ampliado[[#This Row],[Fecha Nac. Víctima]])/365)</f>
        <v>57</v>
      </c>
      <c r="R845" s="7" t="str">
        <f>_xlfn.XLOOKUP(crimenes_cordoba_ampliado[[#This Row],[EDAD VICTIMA]],'Rango etareo'!$A$2:$A$25,'Rango etareo'!$B$2:$B$25,,-1)</f>
        <v>56 - 65</v>
      </c>
      <c r="S845" s="3" t="s">
        <v>21</v>
      </c>
      <c r="T845" s="3" t="str">
        <f>IF(crimenes_cordoba_ampliado[[#This Row],[Género Víctima]]="Masculino","🚹","🚺")</f>
        <v>🚺</v>
      </c>
      <c r="U845">
        <v>1</v>
      </c>
      <c r="V845" s="3" t="s">
        <v>23</v>
      </c>
      <c r="W845" s="3" t="s">
        <v>24</v>
      </c>
      <c r="X845" s="3" t="s">
        <v>24</v>
      </c>
      <c r="Y845" s="3" t="s">
        <v>80</v>
      </c>
      <c r="Z845" s="3" t="s">
        <v>23</v>
      </c>
      <c r="AA845" s="3" t="s">
        <v>25</v>
      </c>
      <c r="AB845" s="3" t="str">
        <f>IF(crimenes_cordoba_ampliado[[#This Row],[Hubo Arresto]]="Sí", "Resuelto", "Pendiente")</f>
        <v>Resuelto</v>
      </c>
      <c r="AC845" s="3" t="s">
        <v>309</v>
      </c>
      <c r="AD845" s="3"/>
    </row>
    <row r="846" spans="1:30" x14ac:dyDescent="0.25">
      <c r="A846">
        <v>204</v>
      </c>
      <c r="B846" s="1">
        <v>45162</v>
      </c>
      <c r="C846" s="33">
        <f t="shared" si="26"/>
        <v>45162</v>
      </c>
      <c r="D846" s="34">
        <f t="shared" si="27"/>
        <v>45162</v>
      </c>
      <c r="E846" s="35" t="s">
        <v>1454</v>
      </c>
      <c r="F846" s="2">
        <v>0.97569444444444442</v>
      </c>
      <c r="G846" s="3" t="s">
        <v>54</v>
      </c>
      <c r="H846" s="3" t="s">
        <v>62</v>
      </c>
      <c r="I846" s="25" t="str">
        <f>VLOOKUP(H846,Tabla5[#All],4,FALSE)</f>
        <v>-31,3909520937826, -64,1836424491715</v>
      </c>
      <c r="J846" s="1">
        <v>26946</v>
      </c>
      <c r="K846" s="7">
        <f>INT((crimenes_cordoba_ampliado[[#This Row],[Fecha]]-crimenes_cordoba_ampliado[[#This Row],[Fecha Nac. Delincuente]])/365)</f>
        <v>49</v>
      </c>
      <c r="L846" s="7" t="str">
        <f>_xlfn.XLOOKUP(crimenes_cordoba_ampliado[[#This Row],[EDAD DELINCUENTE]],'Rango etareo'!$A$10:$A$25,'Rango etareo'!$B$10:$B$25,,-1)</f>
        <v>46 - 55</v>
      </c>
      <c r="M846" s="3" t="s">
        <v>22</v>
      </c>
      <c r="N846" s="3" t="str">
        <f>IF(crimenes_cordoba_ampliado[[#This Row],[Género Delincuente]]="Femenino","🚺","🚹")</f>
        <v>🚹</v>
      </c>
      <c r="O846">
        <v>2</v>
      </c>
      <c r="P846" s="1">
        <v>34084</v>
      </c>
      <c r="Q846" s="7">
        <f>INT((crimenes_cordoba_ampliado[[#This Row],[Fecha]]-crimenes_cordoba_ampliado[[#This Row],[Fecha Nac. Víctima]])/365)</f>
        <v>30</v>
      </c>
      <c r="R846" s="7" t="str">
        <f>_xlfn.XLOOKUP(crimenes_cordoba_ampliado[[#This Row],[EDAD VICTIMA]],'Rango etareo'!$A$2:$A$25,'Rango etareo'!$B$2:$B$25,,-1)</f>
        <v>26 - 35</v>
      </c>
      <c r="S846" s="3" t="s">
        <v>21</v>
      </c>
      <c r="T846" s="3" t="str">
        <f>IF(crimenes_cordoba_ampliado[[#This Row],[Género Víctima]]="Masculino","🚹","🚺")</f>
        <v>🚺</v>
      </c>
      <c r="U846">
        <v>1</v>
      </c>
      <c r="V846" s="3" t="s">
        <v>25</v>
      </c>
      <c r="W846" s="3" t="s">
        <v>83</v>
      </c>
      <c r="X846" s="3" t="s">
        <v>24</v>
      </c>
      <c r="Y846" s="3" t="s">
        <v>77</v>
      </c>
      <c r="Z846" s="3" t="s">
        <v>25</v>
      </c>
      <c r="AA846" s="3" t="s">
        <v>25</v>
      </c>
      <c r="AB846" s="3" t="str">
        <f>IF(crimenes_cordoba_ampliado[[#This Row],[Hubo Arresto]]="Sí", "Resuelto", "Pendiente")</f>
        <v>Pendiente</v>
      </c>
      <c r="AC846" s="3" t="s">
        <v>24</v>
      </c>
      <c r="AD846" s="3"/>
    </row>
    <row r="847" spans="1:30" x14ac:dyDescent="0.25">
      <c r="A847">
        <v>841</v>
      </c>
      <c r="B847" s="1">
        <v>43988</v>
      </c>
      <c r="C847" s="33">
        <f t="shared" si="26"/>
        <v>43988</v>
      </c>
      <c r="D847" s="34">
        <f t="shared" si="27"/>
        <v>43988</v>
      </c>
      <c r="E847" s="35" t="s">
        <v>1451</v>
      </c>
      <c r="F847" s="2">
        <v>0.55625000000000002</v>
      </c>
      <c r="G847" s="3" t="s">
        <v>31</v>
      </c>
      <c r="H847" s="3" t="s">
        <v>70</v>
      </c>
      <c r="I847" s="25" t="str">
        <f>VLOOKUP(H847,Tabla5[#All],4,FALSE)</f>
        <v>-31,3759272890294, -64,2284587792478</v>
      </c>
      <c r="J847" s="1">
        <v>37731</v>
      </c>
      <c r="K847" s="7">
        <f>INT((crimenes_cordoba_ampliado[[#This Row],[Fecha]]-crimenes_cordoba_ampliado[[#This Row],[Fecha Nac. Delincuente]])/365)</f>
        <v>17</v>
      </c>
      <c r="L847" s="7" t="str">
        <f>_xlfn.XLOOKUP(crimenes_cordoba_ampliado[[#This Row],[EDAD DELINCUENTE]],'Rango etareo'!$A$10:$A$25,'Rango etareo'!$B$10:$B$25,,-1)</f>
        <v>&lt;=17</v>
      </c>
      <c r="M847" s="3" t="s">
        <v>21</v>
      </c>
      <c r="N847" s="3" t="str">
        <f>IF(crimenes_cordoba_ampliado[[#This Row],[Género Delincuente]]="Femenino","🚺","🚹")</f>
        <v>🚺</v>
      </c>
      <c r="O847">
        <v>1</v>
      </c>
      <c r="P847" s="1">
        <v>41520</v>
      </c>
      <c r="Q847" s="7">
        <f>INT((crimenes_cordoba_ampliado[[#This Row],[Fecha]]-crimenes_cordoba_ampliado[[#This Row],[Fecha Nac. Víctima]])/365)</f>
        <v>6</v>
      </c>
      <c r="R847" s="7" t="str">
        <f>_xlfn.XLOOKUP(crimenes_cordoba_ampliado[[#This Row],[EDAD VICTIMA]],'Rango etareo'!$A$2:$A$25,'Rango etareo'!$B$2:$B$25,,-1)</f>
        <v>&lt;=17</v>
      </c>
      <c r="S847" s="3" t="s">
        <v>21</v>
      </c>
      <c r="T847" s="3" t="str">
        <f>IF(crimenes_cordoba_ampliado[[#This Row],[Género Víctima]]="Masculino","🚹","🚺")</f>
        <v>🚺</v>
      </c>
      <c r="U847">
        <v>1</v>
      </c>
      <c r="V847" s="3" t="s">
        <v>23</v>
      </c>
      <c r="W847" s="3" t="s">
        <v>24</v>
      </c>
      <c r="X847" s="3" t="s">
        <v>24</v>
      </c>
      <c r="Y847" s="3" t="s">
        <v>43</v>
      </c>
      <c r="Z847" s="3" t="s">
        <v>25</v>
      </c>
      <c r="AA847" s="3" t="s">
        <v>23</v>
      </c>
      <c r="AB847" s="3" t="str">
        <f>IF(crimenes_cordoba_ampliado[[#This Row],[Hubo Arresto]]="Sí", "Resuelto", "Pendiente")</f>
        <v>Resuelto</v>
      </c>
      <c r="AC847" s="3" t="s">
        <v>264</v>
      </c>
      <c r="AD847" s="3"/>
    </row>
    <row r="848" spans="1:30" x14ac:dyDescent="0.25">
      <c r="A848">
        <v>843</v>
      </c>
      <c r="B848" s="1">
        <v>43029</v>
      </c>
      <c r="C848" s="33">
        <f t="shared" si="26"/>
        <v>43029</v>
      </c>
      <c r="D848" s="34">
        <f t="shared" si="27"/>
        <v>43029</v>
      </c>
      <c r="E848" s="35" t="s">
        <v>1451</v>
      </c>
      <c r="F848" s="2">
        <v>0.59722222222222221</v>
      </c>
      <c r="G848" s="3" t="s">
        <v>54</v>
      </c>
      <c r="H848" s="3" t="s">
        <v>70</v>
      </c>
      <c r="I848" s="25" t="str">
        <f>VLOOKUP(H848,Tabla5[#All],4,FALSE)</f>
        <v>-31,3759272890294, -64,2284587792478</v>
      </c>
      <c r="J848" s="1">
        <v>22745</v>
      </c>
      <c r="K848" s="7">
        <f>INT((crimenes_cordoba_ampliado[[#This Row],[Fecha]]-crimenes_cordoba_ampliado[[#This Row],[Fecha Nac. Delincuente]])/365)</f>
        <v>55</v>
      </c>
      <c r="L848" s="7" t="str">
        <f>_xlfn.XLOOKUP(crimenes_cordoba_ampliado[[#This Row],[EDAD DELINCUENTE]],'Rango etareo'!$A$10:$A$25,'Rango etareo'!$B$10:$B$25,,-1)</f>
        <v>46 - 55</v>
      </c>
      <c r="M848" s="3" t="s">
        <v>22</v>
      </c>
      <c r="N848" s="3" t="str">
        <f>IF(crimenes_cordoba_ampliado[[#This Row],[Género Delincuente]]="Femenino","🚺","🚹")</f>
        <v>🚹</v>
      </c>
      <c r="O848">
        <v>3</v>
      </c>
      <c r="P848" s="1">
        <v>24506</v>
      </c>
      <c r="Q848" s="7">
        <f>INT((crimenes_cordoba_ampliado[[#This Row],[Fecha]]-crimenes_cordoba_ampliado[[#This Row],[Fecha Nac. Víctima]])/365)</f>
        <v>50</v>
      </c>
      <c r="R848" s="7" t="str">
        <f>_xlfn.XLOOKUP(crimenes_cordoba_ampliado[[#This Row],[EDAD VICTIMA]],'Rango etareo'!$A$2:$A$25,'Rango etareo'!$B$2:$B$25,,-1)</f>
        <v>46 - 55</v>
      </c>
      <c r="S848" s="3" t="s">
        <v>22</v>
      </c>
      <c r="T848" s="3" t="str">
        <f>IF(crimenes_cordoba_ampliado[[#This Row],[Género Víctima]]="Masculino","🚹","🚺")</f>
        <v>🚹</v>
      </c>
      <c r="U848">
        <v>2</v>
      </c>
      <c r="V848" s="3" t="s">
        <v>23</v>
      </c>
      <c r="W848" s="3" t="s">
        <v>24</v>
      </c>
      <c r="X848" s="3" t="s">
        <v>24</v>
      </c>
      <c r="Y848" s="3" t="s">
        <v>69</v>
      </c>
      <c r="Z848" s="3" t="s">
        <v>25</v>
      </c>
      <c r="AA848" s="3" t="s">
        <v>25</v>
      </c>
      <c r="AB848" s="3" t="str">
        <f>IF(crimenes_cordoba_ampliado[[#This Row],[Hubo Arresto]]="Sí", "Resuelto", "Pendiente")</f>
        <v>Resuelto</v>
      </c>
      <c r="AC848" s="3" t="s">
        <v>121</v>
      </c>
      <c r="AD848" s="3"/>
    </row>
    <row r="849" spans="1:30" x14ac:dyDescent="0.25">
      <c r="A849">
        <v>844</v>
      </c>
      <c r="B849" s="1">
        <v>44018</v>
      </c>
      <c r="C849" s="33">
        <f t="shared" si="26"/>
        <v>44018</v>
      </c>
      <c r="D849" s="34">
        <f t="shared" si="27"/>
        <v>44018</v>
      </c>
      <c r="E849" s="35" t="s">
        <v>1452</v>
      </c>
      <c r="F849" s="2">
        <v>0.95625000000000004</v>
      </c>
      <c r="G849" s="3" t="s">
        <v>51</v>
      </c>
      <c r="H849" s="3" t="s">
        <v>20</v>
      </c>
      <c r="I849" s="25" t="str">
        <f>VLOOKUP(H849,Tabla5[#All],4,FALSE)</f>
        <v>-31,4800162965848, -64,2094200976892</v>
      </c>
      <c r="J849" s="1">
        <v>21763</v>
      </c>
      <c r="K849" s="7">
        <f>INT((crimenes_cordoba_ampliado[[#This Row],[Fecha]]-crimenes_cordoba_ampliado[[#This Row],[Fecha Nac. Delincuente]])/365)</f>
        <v>60</v>
      </c>
      <c r="L849" s="7" t="str">
        <f>_xlfn.XLOOKUP(crimenes_cordoba_ampliado[[#This Row],[EDAD DELINCUENTE]],'Rango etareo'!$A$10:$A$25,'Rango etareo'!$B$10:$B$25,,-1)</f>
        <v>56 - 65</v>
      </c>
      <c r="M849" s="3" t="s">
        <v>22</v>
      </c>
      <c r="N849" s="3" t="str">
        <f>IF(crimenes_cordoba_ampliado[[#This Row],[Género Delincuente]]="Femenino","🚺","🚹")</f>
        <v>🚹</v>
      </c>
      <c r="O849">
        <v>5</v>
      </c>
      <c r="P849" s="1">
        <v>33885</v>
      </c>
      <c r="Q849" s="7">
        <f>INT((crimenes_cordoba_ampliado[[#This Row],[Fecha]]-crimenes_cordoba_ampliado[[#This Row],[Fecha Nac. Víctima]])/365)</f>
        <v>27</v>
      </c>
      <c r="R849" s="7" t="str">
        <f>_xlfn.XLOOKUP(crimenes_cordoba_ampliado[[#This Row],[EDAD VICTIMA]],'Rango etareo'!$A$2:$A$25,'Rango etareo'!$B$2:$B$25,,-1)</f>
        <v>26 - 35</v>
      </c>
      <c r="S849" s="3" t="s">
        <v>22</v>
      </c>
      <c r="T849" s="3" t="str">
        <f>IF(crimenes_cordoba_ampliado[[#This Row],[Género Víctima]]="Masculino","🚹","🚺")</f>
        <v>🚹</v>
      </c>
      <c r="U849">
        <v>2</v>
      </c>
      <c r="V849" s="3" t="s">
        <v>23</v>
      </c>
      <c r="W849" s="3" t="s">
        <v>63</v>
      </c>
      <c r="X849" s="3" t="s">
        <v>24</v>
      </c>
      <c r="Y849" s="3" t="s">
        <v>77</v>
      </c>
      <c r="Z849" s="3" t="s">
        <v>23</v>
      </c>
      <c r="AA849" s="3" t="s">
        <v>25</v>
      </c>
      <c r="AB849" s="3" t="str">
        <f>IF(crimenes_cordoba_ampliado[[#This Row],[Hubo Arresto]]="Sí", "Resuelto", "Pendiente")</f>
        <v>Resuelto</v>
      </c>
      <c r="AC849" s="3" t="s">
        <v>302</v>
      </c>
      <c r="AD849" s="3"/>
    </row>
    <row r="850" spans="1:30" x14ac:dyDescent="0.25">
      <c r="A850">
        <v>846</v>
      </c>
      <c r="B850" s="1">
        <v>43249</v>
      </c>
      <c r="C850" s="33">
        <f t="shared" si="26"/>
        <v>43249</v>
      </c>
      <c r="D850" s="34">
        <f t="shared" si="27"/>
        <v>43249</v>
      </c>
      <c r="E850" s="35" t="s">
        <v>1453</v>
      </c>
      <c r="F850" s="2">
        <v>0.19166666666666668</v>
      </c>
      <c r="G850" s="3" t="s">
        <v>38</v>
      </c>
      <c r="H850" s="3" t="s">
        <v>28</v>
      </c>
      <c r="I850" s="25" t="str">
        <f>VLOOKUP(H850,Tabla5[#All],4,FALSE)</f>
        <v>-31,4129883640337, -64,1681120522587</v>
      </c>
      <c r="J850" s="1">
        <v>35709</v>
      </c>
      <c r="K850" s="7">
        <f>INT((crimenes_cordoba_ampliado[[#This Row],[Fecha]]-crimenes_cordoba_ampliado[[#This Row],[Fecha Nac. Delincuente]])/365)</f>
        <v>20</v>
      </c>
      <c r="L850" s="7" t="str">
        <f>_xlfn.XLOOKUP(crimenes_cordoba_ampliado[[#This Row],[EDAD DELINCUENTE]],'Rango etareo'!$A$10:$A$25,'Rango etareo'!$B$10:$B$25,,-1)</f>
        <v>18 - 25</v>
      </c>
      <c r="M850" s="3" t="s">
        <v>21</v>
      </c>
      <c r="N850" s="3" t="str">
        <f>IF(crimenes_cordoba_ampliado[[#This Row],[Género Delincuente]]="Femenino","🚺","🚹")</f>
        <v>🚺</v>
      </c>
      <c r="O850">
        <v>4</v>
      </c>
      <c r="P850" s="1">
        <v>17042</v>
      </c>
      <c r="Q850" s="7">
        <f>INT((crimenes_cordoba_ampliado[[#This Row],[Fecha]]-crimenes_cordoba_ampliado[[#This Row],[Fecha Nac. Víctima]])/365)</f>
        <v>71</v>
      </c>
      <c r="R850" s="7" t="str">
        <f>_xlfn.XLOOKUP(crimenes_cordoba_ampliado[[#This Row],[EDAD VICTIMA]],'Rango etareo'!$A$2:$A$25,'Rango etareo'!$B$2:$B$25,,-1)</f>
        <v>&gt;65</v>
      </c>
      <c r="S850" s="3" t="s">
        <v>22</v>
      </c>
      <c r="T850" s="3" t="str">
        <f>IF(crimenes_cordoba_ampliado[[#This Row],[Género Víctima]]="Masculino","🚹","🚺")</f>
        <v>🚹</v>
      </c>
      <c r="U850">
        <v>3</v>
      </c>
      <c r="V850" s="3" t="s">
        <v>23</v>
      </c>
      <c r="W850" s="3" t="s">
        <v>24</v>
      </c>
      <c r="X850" s="3" t="s">
        <v>24</v>
      </c>
      <c r="Y850" s="3" t="s">
        <v>24</v>
      </c>
      <c r="Z850" s="3" t="s">
        <v>25</v>
      </c>
      <c r="AA850" s="3" t="s">
        <v>23</v>
      </c>
      <c r="AB850" s="3" t="str">
        <f>IF(crimenes_cordoba_ampliado[[#This Row],[Hubo Arresto]]="Sí", "Resuelto", "Pendiente")</f>
        <v>Resuelto</v>
      </c>
      <c r="AC850" s="3" t="s">
        <v>228</v>
      </c>
      <c r="AD850" s="3"/>
    </row>
    <row r="851" spans="1:30" x14ac:dyDescent="0.25">
      <c r="A851">
        <v>847</v>
      </c>
      <c r="B851" s="1">
        <v>45283</v>
      </c>
      <c r="C851" s="33">
        <f t="shared" si="26"/>
        <v>45283</v>
      </c>
      <c r="D851" s="34">
        <f t="shared" si="27"/>
        <v>45283</v>
      </c>
      <c r="E851" s="35" t="s">
        <v>1451</v>
      </c>
      <c r="F851" s="2">
        <v>2.013888888888889E-2</v>
      </c>
      <c r="G851" s="3" t="s">
        <v>35</v>
      </c>
      <c r="H851" s="3" t="s">
        <v>55</v>
      </c>
      <c r="I851" s="25" t="str">
        <f>VLOOKUP(H851,Tabla5[#All],4,FALSE)</f>
        <v>-31,4015892433235, -64,160442876477</v>
      </c>
      <c r="J851" s="1">
        <v>18500</v>
      </c>
      <c r="K851" s="7">
        <f>INT((crimenes_cordoba_ampliado[[#This Row],[Fecha]]-crimenes_cordoba_ampliado[[#This Row],[Fecha Nac. Delincuente]])/365)</f>
        <v>73</v>
      </c>
      <c r="L851" s="7" t="str">
        <f>_xlfn.XLOOKUP(crimenes_cordoba_ampliado[[#This Row],[EDAD DELINCUENTE]],'Rango etareo'!$A$10:$A$25,'Rango etareo'!$B$10:$B$25,,-1)</f>
        <v>&gt;65</v>
      </c>
      <c r="M851" s="3" t="s">
        <v>22</v>
      </c>
      <c r="N851" s="3" t="str">
        <f>IF(crimenes_cordoba_ampliado[[#This Row],[Género Delincuente]]="Femenino","🚺","🚹")</f>
        <v>🚹</v>
      </c>
      <c r="O851">
        <v>1</v>
      </c>
      <c r="P851" s="1">
        <v>16035</v>
      </c>
      <c r="Q851" s="7">
        <f>INT((crimenes_cordoba_ampliado[[#This Row],[Fecha]]-crimenes_cordoba_ampliado[[#This Row],[Fecha Nac. Víctima]])/365)</f>
        <v>80</v>
      </c>
      <c r="R851" s="7" t="str">
        <f>_xlfn.XLOOKUP(crimenes_cordoba_ampliado[[#This Row],[EDAD VICTIMA]],'Rango etareo'!$A$2:$A$25,'Rango etareo'!$B$2:$B$25,,-1)</f>
        <v>&gt;65</v>
      </c>
      <c r="S851" s="3" t="s">
        <v>21</v>
      </c>
      <c r="T851" s="3" t="str">
        <f>IF(crimenes_cordoba_ampliado[[#This Row],[Género Víctima]]="Masculino","🚹","🚺")</f>
        <v>🚺</v>
      </c>
      <c r="U851">
        <v>1</v>
      </c>
      <c r="V851" s="3" t="s">
        <v>23</v>
      </c>
      <c r="W851" s="3" t="s">
        <v>24</v>
      </c>
      <c r="X851" s="3" t="s">
        <v>29</v>
      </c>
      <c r="Y851" s="3" t="s">
        <v>24</v>
      </c>
      <c r="Z851" s="3" t="s">
        <v>25</v>
      </c>
      <c r="AA851" s="3" t="s">
        <v>25</v>
      </c>
      <c r="AB851" s="3" t="str">
        <f>IF(crimenes_cordoba_ampliado[[#This Row],[Hubo Arresto]]="Sí", "Resuelto", "Pendiente")</f>
        <v>Resuelto</v>
      </c>
      <c r="AC851" s="3" t="s">
        <v>194</v>
      </c>
      <c r="AD851" s="3"/>
    </row>
    <row r="852" spans="1:30" x14ac:dyDescent="0.25">
      <c r="A852">
        <v>849</v>
      </c>
      <c r="B852" s="1">
        <v>43432</v>
      </c>
      <c r="C852" s="33">
        <f t="shared" si="26"/>
        <v>43432</v>
      </c>
      <c r="D852" s="34">
        <f t="shared" si="27"/>
        <v>43432</v>
      </c>
      <c r="E852" s="35" t="s">
        <v>1450</v>
      </c>
      <c r="F852" s="2">
        <v>0.63194444444444442</v>
      </c>
      <c r="G852" s="3" t="s">
        <v>51</v>
      </c>
      <c r="H852" s="3" t="s">
        <v>62</v>
      </c>
      <c r="I852" s="25" t="str">
        <f>VLOOKUP(H852,Tabla5[#All],4,FALSE)</f>
        <v>-31,3909520937826, -64,1836424491715</v>
      </c>
      <c r="J852" s="1">
        <v>27778</v>
      </c>
      <c r="K852" s="7">
        <f>INT((crimenes_cordoba_ampliado[[#This Row],[Fecha]]-crimenes_cordoba_ampliado[[#This Row],[Fecha Nac. Delincuente]])/365)</f>
        <v>42</v>
      </c>
      <c r="L852" s="7" t="str">
        <f>_xlfn.XLOOKUP(crimenes_cordoba_ampliado[[#This Row],[EDAD DELINCUENTE]],'Rango etareo'!$A$10:$A$25,'Rango etareo'!$B$10:$B$25,,-1)</f>
        <v>36 - 45</v>
      </c>
      <c r="M852" s="3" t="s">
        <v>21</v>
      </c>
      <c r="N852" s="3" t="str">
        <f>IF(crimenes_cordoba_ampliado[[#This Row],[Género Delincuente]]="Femenino","🚺","🚹")</f>
        <v>🚺</v>
      </c>
      <c r="O852">
        <v>2</v>
      </c>
      <c r="P852" s="1">
        <v>26367</v>
      </c>
      <c r="Q852" s="7">
        <f>INT((crimenes_cordoba_ampliado[[#This Row],[Fecha]]-crimenes_cordoba_ampliado[[#This Row],[Fecha Nac. Víctima]])/365)</f>
        <v>46</v>
      </c>
      <c r="R852" s="7" t="str">
        <f>_xlfn.XLOOKUP(crimenes_cordoba_ampliado[[#This Row],[EDAD VICTIMA]],'Rango etareo'!$A$2:$A$25,'Rango etareo'!$B$2:$B$25,,-1)</f>
        <v>46 - 55</v>
      </c>
      <c r="S852" s="3" t="s">
        <v>21</v>
      </c>
      <c r="T852" s="3" t="str">
        <f>IF(crimenes_cordoba_ampliado[[#This Row],[Género Víctima]]="Masculino","🚹","🚺")</f>
        <v>🚺</v>
      </c>
      <c r="U852">
        <v>2</v>
      </c>
      <c r="V852" s="3" t="s">
        <v>23</v>
      </c>
      <c r="W852" s="3" t="s">
        <v>24</v>
      </c>
      <c r="X852" s="3" t="s">
        <v>67</v>
      </c>
      <c r="Y852" s="3" t="s">
        <v>24</v>
      </c>
      <c r="Z852" s="3" t="s">
        <v>23</v>
      </c>
      <c r="AA852" s="3" t="s">
        <v>23</v>
      </c>
      <c r="AB852" s="3" t="str">
        <f>IF(crimenes_cordoba_ampliado[[#This Row],[Hubo Arresto]]="Sí", "Resuelto", "Pendiente")</f>
        <v>Resuelto</v>
      </c>
      <c r="AC852" s="3" t="s">
        <v>173</v>
      </c>
      <c r="AD852" s="3"/>
    </row>
    <row r="853" spans="1:30" x14ac:dyDescent="0.25">
      <c r="A853">
        <v>851</v>
      </c>
      <c r="B853" s="1">
        <v>42848</v>
      </c>
      <c r="C853" s="33">
        <f t="shared" si="26"/>
        <v>42848</v>
      </c>
      <c r="D853" s="34">
        <f t="shared" si="27"/>
        <v>42848</v>
      </c>
      <c r="E853" s="35" t="s">
        <v>1449</v>
      </c>
      <c r="F853" s="2">
        <v>0.81180555555555556</v>
      </c>
      <c r="G853" s="3" t="s">
        <v>48</v>
      </c>
      <c r="H853" s="3" t="s">
        <v>60</v>
      </c>
      <c r="I853" s="25" t="str">
        <f>VLOOKUP(H853,Tabla5[#All],4,FALSE)</f>
        <v>-31,4076397196409, -64,2020170430678</v>
      </c>
      <c r="J853" s="1">
        <v>25377</v>
      </c>
      <c r="K853" s="7">
        <f>INT((crimenes_cordoba_ampliado[[#This Row],[Fecha]]-crimenes_cordoba_ampliado[[#This Row],[Fecha Nac. Delincuente]])/365)</f>
        <v>47</v>
      </c>
      <c r="L853" s="7" t="str">
        <f>_xlfn.XLOOKUP(crimenes_cordoba_ampliado[[#This Row],[EDAD DELINCUENTE]],'Rango etareo'!$A$10:$A$25,'Rango etareo'!$B$10:$B$25,,-1)</f>
        <v>46 - 55</v>
      </c>
      <c r="M853" s="3" t="s">
        <v>21</v>
      </c>
      <c r="N853" s="3" t="str">
        <f>IF(crimenes_cordoba_ampliado[[#This Row],[Género Delincuente]]="Femenino","🚺","🚹")</f>
        <v>🚺</v>
      </c>
      <c r="O853">
        <v>1</v>
      </c>
      <c r="P853" s="1">
        <v>24302</v>
      </c>
      <c r="Q853" s="7">
        <f>INT((crimenes_cordoba_ampliado[[#This Row],[Fecha]]-crimenes_cordoba_ampliado[[#This Row],[Fecha Nac. Víctima]])/365)</f>
        <v>50</v>
      </c>
      <c r="R853" s="7" t="str">
        <f>_xlfn.XLOOKUP(crimenes_cordoba_ampliado[[#This Row],[EDAD VICTIMA]],'Rango etareo'!$A$2:$A$25,'Rango etareo'!$B$2:$B$25,,-1)</f>
        <v>46 - 55</v>
      </c>
      <c r="S853" s="3" t="s">
        <v>22</v>
      </c>
      <c r="T853" s="3" t="str">
        <f>IF(crimenes_cordoba_ampliado[[#This Row],[Género Víctima]]="Masculino","🚹","🚺")</f>
        <v>🚹</v>
      </c>
      <c r="U853">
        <v>1</v>
      </c>
      <c r="V853" s="3" t="s">
        <v>23</v>
      </c>
      <c r="W853" s="3" t="s">
        <v>24</v>
      </c>
      <c r="X853" s="3" t="s">
        <v>24</v>
      </c>
      <c r="Y853" s="3" t="s">
        <v>80</v>
      </c>
      <c r="Z853" s="3" t="s">
        <v>25</v>
      </c>
      <c r="AA853" s="3" t="s">
        <v>25</v>
      </c>
      <c r="AB853" s="3" t="str">
        <f>IF(crimenes_cordoba_ampliado[[#This Row],[Hubo Arresto]]="Sí", "Resuelto", "Pendiente")</f>
        <v>Resuelto</v>
      </c>
      <c r="AC853" s="3" t="s">
        <v>272</v>
      </c>
      <c r="AD853" s="3"/>
    </row>
    <row r="854" spans="1:30" x14ac:dyDescent="0.25">
      <c r="A854">
        <v>703</v>
      </c>
      <c r="B854" s="1">
        <v>45196</v>
      </c>
      <c r="C854" s="33">
        <f t="shared" si="26"/>
        <v>45196</v>
      </c>
      <c r="D854" s="34">
        <f t="shared" si="27"/>
        <v>45196</v>
      </c>
      <c r="E854" s="35" t="s">
        <v>1450</v>
      </c>
      <c r="F854" s="2">
        <v>0.27500000000000002</v>
      </c>
      <c r="G854" s="3" t="s">
        <v>38</v>
      </c>
      <c r="H854" s="3" t="s">
        <v>40</v>
      </c>
      <c r="I854" s="25" t="str">
        <f>VLOOKUP(H854,Tabla5[#All],4,FALSE)</f>
        <v>-31,334500143441, -64,2460773260564</v>
      </c>
      <c r="J854" s="1">
        <v>20114</v>
      </c>
      <c r="K854" s="7">
        <f>INT((crimenes_cordoba_ampliado[[#This Row],[Fecha]]-crimenes_cordoba_ampliado[[#This Row],[Fecha Nac. Delincuente]])/365)</f>
        <v>68</v>
      </c>
      <c r="L854" s="7" t="str">
        <f>_xlfn.XLOOKUP(crimenes_cordoba_ampliado[[#This Row],[EDAD DELINCUENTE]],'Rango etareo'!$A$10:$A$25,'Rango etareo'!$B$10:$B$25,,-1)</f>
        <v>&gt;65</v>
      </c>
      <c r="M854" s="3" t="s">
        <v>21</v>
      </c>
      <c r="N854" s="3" t="str">
        <f>IF(crimenes_cordoba_ampliado[[#This Row],[Género Delincuente]]="Femenino","🚺","🚹")</f>
        <v>🚺</v>
      </c>
      <c r="O854">
        <v>4</v>
      </c>
      <c r="P854" s="1">
        <v>24819</v>
      </c>
      <c r="Q854" s="7">
        <f>INT((crimenes_cordoba_ampliado[[#This Row],[Fecha]]-crimenes_cordoba_ampliado[[#This Row],[Fecha Nac. Víctima]])/365)</f>
        <v>55</v>
      </c>
      <c r="R854" s="7" t="str">
        <f>_xlfn.XLOOKUP(crimenes_cordoba_ampliado[[#This Row],[EDAD VICTIMA]],'Rango etareo'!$A$2:$A$25,'Rango etareo'!$B$2:$B$25,,-1)</f>
        <v>46 - 55</v>
      </c>
      <c r="S854" s="3" t="s">
        <v>22</v>
      </c>
      <c r="T854" s="3" t="str">
        <f>IF(crimenes_cordoba_ampliado[[#This Row],[Género Víctima]]="Masculino","🚹","🚺")</f>
        <v>🚹</v>
      </c>
      <c r="U854">
        <v>2</v>
      </c>
      <c r="V854" s="3" t="s">
        <v>25</v>
      </c>
      <c r="W854" s="3" t="s">
        <v>24</v>
      </c>
      <c r="X854" s="3" t="s">
        <v>24</v>
      </c>
      <c r="Y854" s="3" t="s">
        <v>24</v>
      </c>
      <c r="Z854" s="3" t="s">
        <v>25</v>
      </c>
      <c r="AA854" s="3" t="s">
        <v>23</v>
      </c>
      <c r="AB854" s="3" t="str">
        <f>IF(crimenes_cordoba_ampliado[[#This Row],[Hubo Arresto]]="Sí", "Resuelto", "Pendiente")</f>
        <v>Pendiente</v>
      </c>
      <c r="AC854" s="3" t="s">
        <v>24</v>
      </c>
      <c r="AD854" s="3"/>
    </row>
    <row r="855" spans="1:30" x14ac:dyDescent="0.25">
      <c r="A855">
        <v>305</v>
      </c>
      <c r="B855" s="1">
        <v>45198</v>
      </c>
      <c r="C855" s="33">
        <f t="shared" si="26"/>
        <v>45198</v>
      </c>
      <c r="D855" s="34">
        <f t="shared" si="27"/>
        <v>45198</v>
      </c>
      <c r="E855" s="35" t="s">
        <v>1455</v>
      </c>
      <c r="F855" s="2">
        <v>0.78819444444444442</v>
      </c>
      <c r="G855" s="3" t="s">
        <v>79</v>
      </c>
      <c r="H855" s="3" t="s">
        <v>58</v>
      </c>
      <c r="I855" s="25" t="str">
        <f>VLOOKUP(H855,Tabla5[#All],4,FALSE)</f>
        <v>-31,423018915313, -64,1493562190664</v>
      </c>
      <c r="J855" s="1">
        <v>20304</v>
      </c>
      <c r="K855" s="7">
        <f>INT((crimenes_cordoba_ampliado[[#This Row],[Fecha]]-crimenes_cordoba_ampliado[[#This Row],[Fecha Nac. Delincuente]])/365)</f>
        <v>68</v>
      </c>
      <c r="L855" s="7" t="str">
        <f>_xlfn.XLOOKUP(crimenes_cordoba_ampliado[[#This Row],[EDAD DELINCUENTE]],'Rango etareo'!$A$10:$A$25,'Rango etareo'!$B$10:$B$25,,-1)</f>
        <v>&gt;65</v>
      </c>
      <c r="M855" s="3" t="s">
        <v>21</v>
      </c>
      <c r="N855" s="3" t="str">
        <f>IF(crimenes_cordoba_ampliado[[#This Row],[Género Delincuente]]="Femenino","🚺","🚹")</f>
        <v>🚺</v>
      </c>
      <c r="O855">
        <v>1</v>
      </c>
      <c r="P855" s="1">
        <v>33713</v>
      </c>
      <c r="Q855" s="7">
        <f>INT((crimenes_cordoba_ampliado[[#This Row],[Fecha]]-crimenes_cordoba_ampliado[[#This Row],[Fecha Nac. Víctima]])/365)</f>
        <v>31</v>
      </c>
      <c r="R855" s="7" t="str">
        <f>_xlfn.XLOOKUP(crimenes_cordoba_ampliado[[#This Row],[EDAD VICTIMA]],'Rango etareo'!$A$2:$A$25,'Rango etareo'!$B$2:$B$25,,-1)</f>
        <v>26 - 35</v>
      </c>
      <c r="S855" s="3" t="s">
        <v>21</v>
      </c>
      <c r="T855" s="3" t="str">
        <f>IF(crimenes_cordoba_ampliado[[#This Row],[Género Víctima]]="Masculino","🚹","🚺")</f>
        <v>🚺</v>
      </c>
      <c r="U855">
        <v>3</v>
      </c>
      <c r="V855" s="3" t="s">
        <v>25</v>
      </c>
      <c r="W855" s="3" t="s">
        <v>24</v>
      </c>
      <c r="X855" s="3" t="s">
        <v>24</v>
      </c>
      <c r="Y855" s="3" t="s">
        <v>98</v>
      </c>
      <c r="Z855" s="3" t="s">
        <v>25</v>
      </c>
      <c r="AA855" s="3" t="s">
        <v>25</v>
      </c>
      <c r="AB855" s="3" t="str">
        <f>IF(crimenes_cordoba_ampliado[[#This Row],[Hubo Arresto]]="Sí", "Resuelto", "Pendiente")</f>
        <v>Pendiente</v>
      </c>
      <c r="AC855" s="3" t="s">
        <v>24</v>
      </c>
      <c r="AD855" s="3"/>
    </row>
    <row r="856" spans="1:30" x14ac:dyDescent="0.25">
      <c r="A856">
        <v>853</v>
      </c>
      <c r="B856" s="1">
        <v>45059</v>
      </c>
      <c r="C856" s="33">
        <f t="shared" si="26"/>
        <v>45059</v>
      </c>
      <c r="D856" s="34">
        <f t="shared" si="27"/>
        <v>45059</v>
      </c>
      <c r="E856" s="35" t="s">
        <v>1451</v>
      </c>
      <c r="F856" s="2">
        <v>0.92222222222222228</v>
      </c>
      <c r="G856" s="3" t="s">
        <v>35</v>
      </c>
      <c r="H856" s="3" t="s">
        <v>70</v>
      </c>
      <c r="I856" s="25" t="str">
        <f>VLOOKUP(H856,Tabla5[#All],4,FALSE)</f>
        <v>-31,3759272890294, -64,2284587792478</v>
      </c>
      <c r="J856" s="1">
        <v>21091</v>
      </c>
      <c r="K856" s="7">
        <f>INT((crimenes_cordoba_ampliado[[#This Row],[Fecha]]-crimenes_cordoba_ampliado[[#This Row],[Fecha Nac. Delincuente]])/365)</f>
        <v>65</v>
      </c>
      <c r="L856" s="7" t="str">
        <f>_xlfn.XLOOKUP(crimenes_cordoba_ampliado[[#This Row],[EDAD DELINCUENTE]],'Rango etareo'!$A$10:$A$25,'Rango etareo'!$B$10:$B$25,,-1)</f>
        <v>&gt;65</v>
      </c>
      <c r="M856" s="3" t="s">
        <v>22</v>
      </c>
      <c r="N856" s="3" t="str">
        <f>IF(crimenes_cordoba_ampliado[[#This Row],[Género Delincuente]]="Femenino","🚺","🚹")</f>
        <v>🚹</v>
      </c>
      <c r="O856">
        <v>2</v>
      </c>
      <c r="P856" s="1">
        <v>24606</v>
      </c>
      <c r="Q856" s="7">
        <f>INT((crimenes_cordoba_ampliado[[#This Row],[Fecha]]-crimenes_cordoba_ampliado[[#This Row],[Fecha Nac. Víctima]])/365)</f>
        <v>56</v>
      </c>
      <c r="R856" s="7" t="str">
        <f>_xlfn.XLOOKUP(crimenes_cordoba_ampliado[[#This Row],[EDAD VICTIMA]],'Rango etareo'!$A$2:$A$25,'Rango etareo'!$B$2:$B$25,,-1)</f>
        <v>56 - 65</v>
      </c>
      <c r="S856" s="3" t="s">
        <v>21</v>
      </c>
      <c r="T856" s="3" t="str">
        <f>IF(crimenes_cordoba_ampliado[[#This Row],[Género Víctima]]="Masculino","🚹","🚺")</f>
        <v>🚺</v>
      </c>
      <c r="U856">
        <v>2</v>
      </c>
      <c r="V856" s="3" t="s">
        <v>23</v>
      </c>
      <c r="W856" s="3" t="s">
        <v>71</v>
      </c>
      <c r="X856" s="3" t="s">
        <v>24</v>
      </c>
      <c r="Y856" s="3" t="s">
        <v>77</v>
      </c>
      <c r="Z856" s="3" t="s">
        <v>25</v>
      </c>
      <c r="AA856" s="3" t="s">
        <v>25</v>
      </c>
      <c r="AB856" s="3" t="str">
        <f>IF(crimenes_cordoba_ampliado[[#This Row],[Hubo Arresto]]="Sí", "Resuelto", "Pendiente")</f>
        <v>Resuelto</v>
      </c>
      <c r="AC856" s="3" t="s">
        <v>207</v>
      </c>
      <c r="AD856" s="3"/>
    </row>
    <row r="857" spans="1:30" x14ac:dyDescent="0.25">
      <c r="A857">
        <v>855</v>
      </c>
      <c r="B857" s="1">
        <v>45564</v>
      </c>
      <c r="C857" s="33">
        <f t="shared" si="26"/>
        <v>45564</v>
      </c>
      <c r="D857" s="34">
        <f t="shared" si="27"/>
        <v>45564</v>
      </c>
      <c r="E857" s="35" t="s">
        <v>1449</v>
      </c>
      <c r="F857" s="2">
        <v>0.78541666666666665</v>
      </c>
      <c r="G857" s="3" t="s">
        <v>54</v>
      </c>
      <c r="H857" s="3" t="s">
        <v>62</v>
      </c>
      <c r="I857" s="25" t="str">
        <f>VLOOKUP(H857,Tabla5[#All],4,FALSE)</f>
        <v>-31,3909520937826, -64,1836424491715</v>
      </c>
      <c r="J857" s="1">
        <v>19644</v>
      </c>
      <c r="K857" s="7">
        <f>INT((crimenes_cordoba_ampliado[[#This Row],[Fecha]]-crimenes_cordoba_ampliado[[#This Row],[Fecha Nac. Delincuente]])/365)</f>
        <v>71</v>
      </c>
      <c r="L857" s="7" t="str">
        <f>_xlfn.XLOOKUP(crimenes_cordoba_ampliado[[#This Row],[EDAD DELINCUENTE]],'Rango etareo'!$A$10:$A$25,'Rango etareo'!$B$10:$B$25,,-1)</f>
        <v>&gt;65</v>
      </c>
      <c r="M857" s="3" t="s">
        <v>22</v>
      </c>
      <c r="N857" s="3" t="str">
        <f>IF(crimenes_cordoba_ampliado[[#This Row],[Género Delincuente]]="Femenino","🚺","🚹")</f>
        <v>🚹</v>
      </c>
      <c r="O857">
        <v>2</v>
      </c>
      <c r="P857" s="1">
        <v>23519</v>
      </c>
      <c r="Q857" s="7">
        <f>INT((crimenes_cordoba_ampliado[[#This Row],[Fecha]]-crimenes_cordoba_ampliado[[#This Row],[Fecha Nac. Víctima]])/365)</f>
        <v>60</v>
      </c>
      <c r="R857" s="7" t="str">
        <f>_xlfn.XLOOKUP(crimenes_cordoba_ampliado[[#This Row],[EDAD VICTIMA]],'Rango etareo'!$A$2:$A$25,'Rango etareo'!$B$2:$B$25,,-1)</f>
        <v>56 - 65</v>
      </c>
      <c r="S857" s="3" t="s">
        <v>22</v>
      </c>
      <c r="T857" s="3" t="str">
        <f>IF(crimenes_cordoba_ampliado[[#This Row],[Género Víctima]]="Masculino","🚹","🚺")</f>
        <v>🚹</v>
      </c>
      <c r="U857">
        <v>2</v>
      </c>
      <c r="V857" s="3" t="s">
        <v>23</v>
      </c>
      <c r="W857" s="3" t="s">
        <v>83</v>
      </c>
      <c r="X857" s="3" t="s">
        <v>50</v>
      </c>
      <c r="Y857" s="3" t="s">
        <v>24</v>
      </c>
      <c r="Z857" s="3" t="s">
        <v>25</v>
      </c>
      <c r="AA857" s="3" t="s">
        <v>25</v>
      </c>
      <c r="AB857" s="3" t="str">
        <f>IF(crimenes_cordoba_ampliado[[#This Row],[Hubo Arresto]]="Sí", "Resuelto", "Pendiente")</f>
        <v>Resuelto</v>
      </c>
      <c r="AC857" s="3" t="s">
        <v>308</v>
      </c>
      <c r="AD857" s="3"/>
    </row>
    <row r="858" spans="1:30" x14ac:dyDescent="0.25">
      <c r="A858">
        <v>752</v>
      </c>
      <c r="B858" s="1">
        <v>45207</v>
      </c>
      <c r="C858" s="33">
        <f t="shared" si="26"/>
        <v>45207</v>
      </c>
      <c r="D858" s="34">
        <f t="shared" si="27"/>
        <v>45207</v>
      </c>
      <c r="E858" s="35" t="s">
        <v>1449</v>
      </c>
      <c r="F858" s="2">
        <v>0.79861111111111116</v>
      </c>
      <c r="G858" s="3" t="s">
        <v>38</v>
      </c>
      <c r="H858" s="3" t="s">
        <v>49</v>
      </c>
      <c r="I858" s="25" t="str">
        <f>VLOOKUP(H858,Tabla5[#All],4,FALSE)</f>
        <v>-31,4506257494184, -64,1733054344705</v>
      </c>
      <c r="J858" s="1">
        <v>30150</v>
      </c>
      <c r="K858" s="7">
        <f>INT((crimenes_cordoba_ampliado[[#This Row],[Fecha]]-crimenes_cordoba_ampliado[[#This Row],[Fecha Nac. Delincuente]])/365)</f>
        <v>41</v>
      </c>
      <c r="L858" s="7" t="str">
        <f>_xlfn.XLOOKUP(crimenes_cordoba_ampliado[[#This Row],[EDAD DELINCUENTE]],'Rango etareo'!$A$10:$A$25,'Rango etareo'!$B$10:$B$25,,-1)</f>
        <v>36 - 45</v>
      </c>
      <c r="M858" s="3" t="s">
        <v>22</v>
      </c>
      <c r="N858" s="3" t="str">
        <f>IF(crimenes_cordoba_ampliado[[#This Row],[Género Delincuente]]="Femenino","🚺","🚹")</f>
        <v>🚹</v>
      </c>
      <c r="O858">
        <v>5</v>
      </c>
      <c r="P858" s="1">
        <v>19188</v>
      </c>
      <c r="Q858" s="7">
        <f>INT((crimenes_cordoba_ampliado[[#This Row],[Fecha]]-crimenes_cordoba_ampliado[[#This Row],[Fecha Nac. Víctima]])/365)</f>
        <v>71</v>
      </c>
      <c r="R858" s="7" t="str">
        <f>_xlfn.XLOOKUP(crimenes_cordoba_ampliado[[#This Row],[EDAD VICTIMA]],'Rango etareo'!$A$2:$A$25,'Rango etareo'!$B$2:$B$25,,-1)</f>
        <v>&gt;65</v>
      </c>
      <c r="S858" s="3" t="s">
        <v>21</v>
      </c>
      <c r="T858" s="3" t="str">
        <f>IF(crimenes_cordoba_ampliado[[#This Row],[Género Víctima]]="Masculino","🚹","🚺")</f>
        <v>🚺</v>
      </c>
      <c r="U858">
        <v>1</v>
      </c>
      <c r="V858" s="3" t="s">
        <v>25</v>
      </c>
      <c r="W858" s="3" t="s">
        <v>24</v>
      </c>
      <c r="X858" s="3" t="s">
        <v>24</v>
      </c>
      <c r="Y858" s="3" t="s">
        <v>80</v>
      </c>
      <c r="Z858" s="3" t="s">
        <v>25</v>
      </c>
      <c r="AA858" s="3" t="s">
        <v>25</v>
      </c>
      <c r="AB858" s="3" t="str">
        <f>IF(crimenes_cordoba_ampliado[[#This Row],[Hubo Arresto]]="Sí", "Resuelto", "Pendiente")</f>
        <v>Pendiente</v>
      </c>
      <c r="AC858" s="3" t="s">
        <v>24</v>
      </c>
      <c r="AD858" s="3"/>
    </row>
    <row r="859" spans="1:30" x14ac:dyDescent="0.25">
      <c r="A859">
        <v>944</v>
      </c>
      <c r="B859" s="1">
        <v>45209</v>
      </c>
      <c r="C859" s="33">
        <f t="shared" si="26"/>
        <v>45209</v>
      </c>
      <c r="D859" s="34">
        <f t="shared" si="27"/>
        <v>45209</v>
      </c>
      <c r="E859" s="35" t="s">
        <v>1453</v>
      </c>
      <c r="F859" s="2">
        <v>0.52569444444444446</v>
      </c>
      <c r="G859" s="3" t="s">
        <v>35</v>
      </c>
      <c r="H859" s="3" t="s">
        <v>55</v>
      </c>
      <c r="I859" s="25" t="str">
        <f>VLOOKUP(H859,Tabla5[#All],4,FALSE)</f>
        <v>-31,4015892433235, -64,160442876477</v>
      </c>
      <c r="J859" s="1">
        <v>27827</v>
      </c>
      <c r="K859" s="7">
        <f>INT((crimenes_cordoba_ampliado[[#This Row],[Fecha]]-crimenes_cordoba_ampliado[[#This Row],[Fecha Nac. Delincuente]])/365)</f>
        <v>47</v>
      </c>
      <c r="L859" s="7" t="str">
        <f>_xlfn.XLOOKUP(crimenes_cordoba_ampliado[[#This Row],[EDAD DELINCUENTE]],'Rango etareo'!$A$10:$A$25,'Rango etareo'!$B$10:$B$25,,-1)</f>
        <v>46 - 55</v>
      </c>
      <c r="M859" s="3" t="s">
        <v>22</v>
      </c>
      <c r="N859" s="3" t="str">
        <f>IF(crimenes_cordoba_ampliado[[#This Row],[Género Delincuente]]="Femenino","🚺","🚹")</f>
        <v>🚹</v>
      </c>
      <c r="O859">
        <v>2</v>
      </c>
      <c r="P859" s="1">
        <v>31173</v>
      </c>
      <c r="Q859" s="7">
        <f>INT((crimenes_cordoba_ampliado[[#This Row],[Fecha]]-crimenes_cordoba_ampliado[[#This Row],[Fecha Nac. Víctima]])/365)</f>
        <v>38</v>
      </c>
      <c r="R859" s="7" t="str">
        <f>_xlfn.XLOOKUP(crimenes_cordoba_ampliado[[#This Row],[EDAD VICTIMA]],'Rango etareo'!$A$2:$A$25,'Rango etareo'!$B$2:$B$25,,-1)</f>
        <v>36 - 45</v>
      </c>
      <c r="S859" s="3" t="s">
        <v>21</v>
      </c>
      <c r="T859" s="3" t="str">
        <f>IF(crimenes_cordoba_ampliado[[#This Row],[Género Víctima]]="Masculino","🚹","🚺")</f>
        <v>🚺</v>
      </c>
      <c r="U859">
        <v>1</v>
      </c>
      <c r="V859" s="3" t="s">
        <v>25</v>
      </c>
      <c r="W859" s="3" t="s">
        <v>24</v>
      </c>
      <c r="X859" s="3" t="s">
        <v>41</v>
      </c>
      <c r="Y859" s="3" t="s">
        <v>24</v>
      </c>
      <c r="Z859" s="3" t="s">
        <v>25</v>
      </c>
      <c r="AA859" s="3" t="s">
        <v>23</v>
      </c>
      <c r="AB859" s="3" t="str">
        <f>IF(crimenes_cordoba_ampliado[[#This Row],[Hubo Arresto]]="Sí", "Resuelto", "Pendiente")</f>
        <v>Pendiente</v>
      </c>
      <c r="AC859" s="3" t="s">
        <v>24</v>
      </c>
      <c r="AD859" s="3"/>
    </row>
    <row r="860" spans="1:30" x14ac:dyDescent="0.25">
      <c r="A860">
        <v>103</v>
      </c>
      <c r="B860" s="1">
        <v>45212</v>
      </c>
      <c r="C860" s="33">
        <f t="shared" si="26"/>
        <v>45212</v>
      </c>
      <c r="D860" s="34">
        <f t="shared" si="27"/>
        <v>45212</v>
      </c>
      <c r="E860" s="35" t="s">
        <v>1455</v>
      </c>
      <c r="F860" s="2">
        <v>0.34513888888888888</v>
      </c>
      <c r="G860" s="3" t="s">
        <v>31</v>
      </c>
      <c r="H860" s="3" t="s">
        <v>49</v>
      </c>
      <c r="I860" s="25" t="str">
        <f>VLOOKUP(H860,Tabla5[#All],4,FALSE)</f>
        <v>-31,4506257494184, -64,1733054344705</v>
      </c>
      <c r="J860" s="1">
        <v>36466</v>
      </c>
      <c r="K860" s="7">
        <f>INT((crimenes_cordoba_ampliado[[#This Row],[Fecha]]-crimenes_cordoba_ampliado[[#This Row],[Fecha Nac. Delincuente]])/365)</f>
        <v>23</v>
      </c>
      <c r="L860" s="7" t="str">
        <f>_xlfn.XLOOKUP(crimenes_cordoba_ampliado[[#This Row],[EDAD DELINCUENTE]],'Rango etareo'!$A$10:$A$25,'Rango etareo'!$B$10:$B$25,,-1)</f>
        <v>18 - 25</v>
      </c>
      <c r="M860" s="3" t="s">
        <v>22</v>
      </c>
      <c r="N860" s="3" t="str">
        <f>IF(crimenes_cordoba_ampliado[[#This Row],[Género Delincuente]]="Femenino","🚺","🚹")</f>
        <v>🚹</v>
      </c>
      <c r="O860">
        <v>4</v>
      </c>
      <c r="P860" s="1">
        <v>31533</v>
      </c>
      <c r="Q860" s="7">
        <f>INT((crimenes_cordoba_ampliado[[#This Row],[Fecha]]-crimenes_cordoba_ampliado[[#This Row],[Fecha Nac. Víctima]])/365)</f>
        <v>37</v>
      </c>
      <c r="R860" s="7" t="str">
        <f>_xlfn.XLOOKUP(crimenes_cordoba_ampliado[[#This Row],[EDAD VICTIMA]],'Rango etareo'!$A$2:$A$25,'Rango etareo'!$B$2:$B$25,,-1)</f>
        <v>36 - 45</v>
      </c>
      <c r="S860" s="3" t="s">
        <v>22</v>
      </c>
      <c r="T860" s="3" t="str">
        <f>IF(crimenes_cordoba_ampliado[[#This Row],[Género Víctima]]="Masculino","🚹","🚺")</f>
        <v>🚹</v>
      </c>
      <c r="U860">
        <v>1</v>
      </c>
      <c r="V860" s="3" t="s">
        <v>25</v>
      </c>
      <c r="W860" s="3" t="s">
        <v>24</v>
      </c>
      <c r="X860" s="3" t="s">
        <v>67</v>
      </c>
      <c r="Y860" s="3" t="s">
        <v>24</v>
      </c>
      <c r="Z860" s="3" t="s">
        <v>25</v>
      </c>
      <c r="AA860" s="3" t="s">
        <v>23</v>
      </c>
      <c r="AB860" s="3" t="str">
        <f>IF(crimenes_cordoba_ampliado[[#This Row],[Hubo Arresto]]="Sí", "Resuelto", "Pendiente")</f>
        <v>Pendiente</v>
      </c>
      <c r="AC860" s="3" t="s">
        <v>24</v>
      </c>
      <c r="AD860" s="3"/>
    </row>
    <row r="861" spans="1:30" x14ac:dyDescent="0.25">
      <c r="A861">
        <v>691</v>
      </c>
      <c r="B861" s="1">
        <v>45213</v>
      </c>
      <c r="C861" s="33">
        <f t="shared" si="26"/>
        <v>45213</v>
      </c>
      <c r="D861" s="34">
        <f t="shared" si="27"/>
        <v>45213</v>
      </c>
      <c r="E861" s="35" t="s">
        <v>1451</v>
      </c>
      <c r="F861" s="2">
        <v>0.81458333333333333</v>
      </c>
      <c r="G861" s="3" t="s">
        <v>27</v>
      </c>
      <c r="H861" s="3" t="s">
        <v>65</v>
      </c>
      <c r="I861" s="25" t="str">
        <f>VLOOKUP(H861,Tabla5[#All],4,FALSE)</f>
        <v>-31,4285567311661, -64,1853198281007</v>
      </c>
      <c r="J861" s="1">
        <v>36194</v>
      </c>
      <c r="K861" s="7">
        <f>INT((crimenes_cordoba_ampliado[[#This Row],[Fecha]]-crimenes_cordoba_ampliado[[#This Row],[Fecha Nac. Delincuente]])/365)</f>
        <v>24</v>
      </c>
      <c r="L861" s="7" t="str">
        <f>_xlfn.XLOOKUP(crimenes_cordoba_ampliado[[#This Row],[EDAD DELINCUENTE]],'Rango etareo'!$A$10:$A$25,'Rango etareo'!$B$10:$B$25,,-1)</f>
        <v>18 - 25</v>
      </c>
      <c r="M861" s="3" t="s">
        <v>22</v>
      </c>
      <c r="N861" s="3" t="str">
        <f>IF(crimenes_cordoba_ampliado[[#This Row],[Género Delincuente]]="Femenino","🚺","🚹")</f>
        <v>🚹</v>
      </c>
      <c r="O861">
        <v>1</v>
      </c>
      <c r="P861" s="1">
        <v>29201</v>
      </c>
      <c r="Q861" s="7">
        <f>INT((crimenes_cordoba_ampliado[[#This Row],[Fecha]]-crimenes_cordoba_ampliado[[#This Row],[Fecha Nac. Víctima]])/365)</f>
        <v>43</v>
      </c>
      <c r="R861" s="7" t="str">
        <f>_xlfn.XLOOKUP(crimenes_cordoba_ampliado[[#This Row],[EDAD VICTIMA]],'Rango etareo'!$A$2:$A$25,'Rango etareo'!$B$2:$B$25,,-1)</f>
        <v>36 - 45</v>
      </c>
      <c r="S861" s="3" t="s">
        <v>22</v>
      </c>
      <c r="T861" s="3" t="str">
        <f>IF(crimenes_cordoba_ampliado[[#This Row],[Género Víctima]]="Masculino","🚹","🚺")</f>
        <v>🚹</v>
      </c>
      <c r="U861">
        <v>1</v>
      </c>
      <c r="V861" s="3" t="s">
        <v>25</v>
      </c>
      <c r="W861" s="3" t="s">
        <v>36</v>
      </c>
      <c r="X861" s="3" t="s">
        <v>24</v>
      </c>
      <c r="Y861" s="3" t="s">
        <v>99</v>
      </c>
      <c r="Z861" s="3" t="s">
        <v>25</v>
      </c>
      <c r="AA861" s="3" t="s">
        <v>25</v>
      </c>
      <c r="AB861" s="3" t="str">
        <f>IF(crimenes_cordoba_ampliado[[#This Row],[Hubo Arresto]]="Sí", "Resuelto", "Pendiente")</f>
        <v>Pendiente</v>
      </c>
      <c r="AC861" s="3" t="s">
        <v>24</v>
      </c>
      <c r="AD861" s="3"/>
    </row>
    <row r="862" spans="1:30" x14ac:dyDescent="0.25">
      <c r="A862">
        <v>867</v>
      </c>
      <c r="B862" s="1">
        <v>45213</v>
      </c>
      <c r="C862" s="33">
        <f t="shared" si="26"/>
        <v>45213</v>
      </c>
      <c r="D862" s="34">
        <f t="shared" si="27"/>
        <v>45213</v>
      </c>
      <c r="E862" s="35" t="s">
        <v>1451</v>
      </c>
      <c r="F862" s="2">
        <v>0.56944444444444442</v>
      </c>
      <c r="G862" s="3" t="s">
        <v>19</v>
      </c>
      <c r="H862" s="3" t="s">
        <v>70</v>
      </c>
      <c r="I862" s="25" t="str">
        <f>VLOOKUP(H862,Tabla5[#All],4,FALSE)</f>
        <v>-31,3759272890294, -64,2284587792478</v>
      </c>
      <c r="J862" s="1">
        <v>34671</v>
      </c>
      <c r="K862" s="7">
        <f>INT((crimenes_cordoba_ampliado[[#This Row],[Fecha]]-crimenes_cordoba_ampliado[[#This Row],[Fecha Nac. Delincuente]])/365)</f>
        <v>28</v>
      </c>
      <c r="L862" s="7" t="str">
        <f>_xlfn.XLOOKUP(crimenes_cordoba_ampliado[[#This Row],[EDAD DELINCUENTE]],'Rango etareo'!$A$10:$A$25,'Rango etareo'!$B$10:$B$25,,-1)</f>
        <v>26 - 35</v>
      </c>
      <c r="M862" s="3" t="s">
        <v>22</v>
      </c>
      <c r="N862" s="3" t="str">
        <f>IF(crimenes_cordoba_ampliado[[#This Row],[Género Delincuente]]="Femenino","🚺","🚹")</f>
        <v>🚹</v>
      </c>
      <c r="O862">
        <v>4</v>
      </c>
      <c r="P862" s="1">
        <v>28210</v>
      </c>
      <c r="Q862" s="7">
        <f>INT((crimenes_cordoba_ampliado[[#This Row],[Fecha]]-crimenes_cordoba_ampliado[[#This Row],[Fecha Nac. Víctima]])/365)</f>
        <v>46</v>
      </c>
      <c r="R862" s="7" t="str">
        <f>_xlfn.XLOOKUP(crimenes_cordoba_ampliado[[#This Row],[EDAD VICTIMA]],'Rango etareo'!$A$2:$A$25,'Rango etareo'!$B$2:$B$25,,-1)</f>
        <v>46 - 55</v>
      </c>
      <c r="S862" s="3" t="s">
        <v>21</v>
      </c>
      <c r="T862" s="3" t="str">
        <f>IF(crimenes_cordoba_ampliado[[#This Row],[Género Víctima]]="Masculino","🚹","🚺")</f>
        <v>🚺</v>
      </c>
      <c r="U862">
        <v>2</v>
      </c>
      <c r="V862" s="3" t="s">
        <v>25</v>
      </c>
      <c r="W862" s="3" t="s">
        <v>24</v>
      </c>
      <c r="X862" s="3" t="s">
        <v>24</v>
      </c>
      <c r="Y862" s="3" t="s">
        <v>56</v>
      </c>
      <c r="Z862" s="3" t="s">
        <v>25</v>
      </c>
      <c r="AA862" s="3" t="s">
        <v>23</v>
      </c>
      <c r="AB862" s="3" t="str">
        <f>IF(crimenes_cordoba_ampliado[[#This Row],[Hubo Arresto]]="Sí", "Resuelto", "Pendiente")</f>
        <v>Pendiente</v>
      </c>
      <c r="AC862" s="3" t="s">
        <v>24</v>
      </c>
      <c r="AD862" s="3"/>
    </row>
    <row r="863" spans="1:30" x14ac:dyDescent="0.25">
      <c r="A863">
        <v>856</v>
      </c>
      <c r="B863" s="1">
        <v>44651</v>
      </c>
      <c r="C863" s="33">
        <f t="shared" si="26"/>
        <v>44651</v>
      </c>
      <c r="D863" s="34">
        <f t="shared" si="27"/>
        <v>44651</v>
      </c>
      <c r="E863" s="35" t="s">
        <v>1454</v>
      </c>
      <c r="F863" s="2">
        <v>0.89444444444444449</v>
      </c>
      <c r="G863" s="3" t="s">
        <v>48</v>
      </c>
      <c r="H863" s="3" t="s">
        <v>55</v>
      </c>
      <c r="I863" s="25" t="str">
        <f>VLOOKUP(H863,Tabla5[#All],4,FALSE)</f>
        <v>-31,4015892433235, -64,160442876477</v>
      </c>
      <c r="J863" s="1">
        <v>38588</v>
      </c>
      <c r="K863" s="7">
        <f>INT((crimenes_cordoba_ampliado[[#This Row],[Fecha]]-crimenes_cordoba_ampliado[[#This Row],[Fecha Nac. Delincuente]])/365)</f>
        <v>16</v>
      </c>
      <c r="L863" s="7" t="str">
        <f>_xlfn.XLOOKUP(crimenes_cordoba_ampliado[[#This Row],[EDAD DELINCUENTE]],'Rango etareo'!$A$10:$A$25,'Rango etareo'!$B$10:$B$25,,-1)</f>
        <v>&lt;=17</v>
      </c>
      <c r="M863" s="3" t="s">
        <v>21</v>
      </c>
      <c r="N863" s="3" t="str">
        <f>IF(crimenes_cordoba_ampliado[[#This Row],[Género Delincuente]]="Femenino","🚺","🚹")</f>
        <v>🚺</v>
      </c>
      <c r="O863">
        <v>2</v>
      </c>
      <c r="P863" s="1">
        <v>21534</v>
      </c>
      <c r="Q863" s="7">
        <f>INT((crimenes_cordoba_ampliado[[#This Row],[Fecha]]-crimenes_cordoba_ampliado[[#This Row],[Fecha Nac. Víctima]])/365)</f>
        <v>63</v>
      </c>
      <c r="R863" s="7" t="str">
        <f>_xlfn.XLOOKUP(crimenes_cordoba_ampliado[[#This Row],[EDAD VICTIMA]],'Rango etareo'!$A$2:$A$25,'Rango etareo'!$B$2:$B$25,,-1)</f>
        <v>56 - 65</v>
      </c>
      <c r="S863" s="3" t="s">
        <v>21</v>
      </c>
      <c r="T863" s="3" t="str">
        <f>IF(crimenes_cordoba_ampliado[[#This Row],[Género Víctima]]="Masculino","🚹","🚺")</f>
        <v>🚺</v>
      </c>
      <c r="U863">
        <v>2</v>
      </c>
      <c r="V863" s="3" t="s">
        <v>23</v>
      </c>
      <c r="W863" s="3" t="s">
        <v>36</v>
      </c>
      <c r="X863" s="3" t="s">
        <v>41</v>
      </c>
      <c r="Y863" s="3" t="s">
        <v>24</v>
      </c>
      <c r="Z863" s="3" t="s">
        <v>23</v>
      </c>
      <c r="AA863" s="3" t="s">
        <v>23</v>
      </c>
      <c r="AB863" s="3" t="str">
        <f>IF(crimenes_cordoba_ampliado[[#This Row],[Hubo Arresto]]="Sí", "Resuelto", "Pendiente")</f>
        <v>Resuelto</v>
      </c>
      <c r="AC863" s="3" t="s">
        <v>162</v>
      </c>
      <c r="AD863" s="3"/>
    </row>
    <row r="864" spans="1:30" x14ac:dyDescent="0.25">
      <c r="A864">
        <v>857</v>
      </c>
      <c r="B864" s="1">
        <v>44433</v>
      </c>
      <c r="C864" s="33">
        <f t="shared" si="26"/>
        <v>44433</v>
      </c>
      <c r="D864" s="34">
        <f t="shared" si="27"/>
        <v>44433</v>
      </c>
      <c r="E864" s="35" t="s">
        <v>1450</v>
      </c>
      <c r="F864" s="2">
        <v>0.64583333333333337</v>
      </c>
      <c r="G864" s="3" t="s">
        <v>48</v>
      </c>
      <c r="H864" s="3" t="s">
        <v>55</v>
      </c>
      <c r="I864" s="25" t="str">
        <f>VLOOKUP(H864,Tabla5[#All],4,FALSE)</f>
        <v>-31,4015892433235, -64,160442876477</v>
      </c>
      <c r="J864" s="1">
        <v>29940</v>
      </c>
      <c r="K864" s="7">
        <f>INT((crimenes_cordoba_ampliado[[#This Row],[Fecha]]-crimenes_cordoba_ampliado[[#This Row],[Fecha Nac. Delincuente]])/365)</f>
        <v>39</v>
      </c>
      <c r="L864" s="7" t="str">
        <f>_xlfn.XLOOKUP(crimenes_cordoba_ampliado[[#This Row],[EDAD DELINCUENTE]],'Rango etareo'!$A$10:$A$25,'Rango etareo'!$B$10:$B$25,,-1)</f>
        <v>36 - 45</v>
      </c>
      <c r="M864" s="3" t="s">
        <v>21</v>
      </c>
      <c r="N864" s="3" t="str">
        <f>IF(crimenes_cordoba_ampliado[[#This Row],[Género Delincuente]]="Femenino","🚺","🚹")</f>
        <v>🚺</v>
      </c>
      <c r="O864">
        <v>2</v>
      </c>
      <c r="P864" s="1">
        <v>39338</v>
      </c>
      <c r="Q864" s="7">
        <f>INT((crimenes_cordoba_ampliado[[#This Row],[Fecha]]-crimenes_cordoba_ampliado[[#This Row],[Fecha Nac. Víctima]])/365)</f>
        <v>13</v>
      </c>
      <c r="R864" s="7" t="str">
        <f>_xlfn.XLOOKUP(crimenes_cordoba_ampliado[[#This Row],[EDAD VICTIMA]],'Rango etareo'!$A$2:$A$25,'Rango etareo'!$B$2:$B$25,,-1)</f>
        <v>&lt;=17</v>
      </c>
      <c r="S864" s="3" t="s">
        <v>22</v>
      </c>
      <c r="T864" s="3" t="str">
        <f>IF(crimenes_cordoba_ampliado[[#This Row],[Género Víctima]]="Masculino","🚹","🚺")</f>
        <v>🚹</v>
      </c>
      <c r="U864">
        <v>2</v>
      </c>
      <c r="V864" s="3" t="s">
        <v>23</v>
      </c>
      <c r="W864" s="3" t="s">
        <v>24</v>
      </c>
      <c r="X864" s="3" t="s">
        <v>24</v>
      </c>
      <c r="Y864" s="3" t="s">
        <v>43</v>
      </c>
      <c r="Z864" s="3" t="s">
        <v>25</v>
      </c>
      <c r="AA864" s="3" t="s">
        <v>23</v>
      </c>
      <c r="AB864" s="3" t="str">
        <f>IF(crimenes_cordoba_ampliado[[#This Row],[Hubo Arresto]]="Sí", "Resuelto", "Pendiente")</f>
        <v>Resuelto</v>
      </c>
      <c r="AC864" s="3" t="s">
        <v>132</v>
      </c>
      <c r="AD864" s="3"/>
    </row>
    <row r="865" spans="1:30" x14ac:dyDescent="0.25">
      <c r="A865">
        <v>859</v>
      </c>
      <c r="B865" s="1">
        <v>44981</v>
      </c>
      <c r="C865" s="33">
        <f t="shared" si="26"/>
        <v>44981</v>
      </c>
      <c r="D865" s="34">
        <f t="shared" si="27"/>
        <v>44981</v>
      </c>
      <c r="E865" s="35" t="s">
        <v>1455</v>
      </c>
      <c r="F865" s="2">
        <v>1.7361111111111112E-2</v>
      </c>
      <c r="G865" s="3" t="s">
        <v>54</v>
      </c>
      <c r="H865" s="3" t="s">
        <v>52</v>
      </c>
      <c r="I865" s="25" t="str">
        <f>VLOOKUP(H865,Tabla5[#All],4,FALSE)</f>
        <v>-31,3477902896523, -64,2644406169297</v>
      </c>
      <c r="J865" s="1">
        <v>28582</v>
      </c>
      <c r="K865" s="7">
        <f>INT((crimenes_cordoba_ampliado[[#This Row],[Fecha]]-crimenes_cordoba_ampliado[[#This Row],[Fecha Nac. Delincuente]])/365)</f>
        <v>44</v>
      </c>
      <c r="L865" s="7" t="str">
        <f>_xlfn.XLOOKUP(crimenes_cordoba_ampliado[[#This Row],[EDAD DELINCUENTE]],'Rango etareo'!$A$10:$A$25,'Rango etareo'!$B$10:$B$25,,-1)</f>
        <v>36 - 45</v>
      </c>
      <c r="M865" s="3" t="s">
        <v>21</v>
      </c>
      <c r="N865" s="3" t="str">
        <f>IF(crimenes_cordoba_ampliado[[#This Row],[Género Delincuente]]="Femenino","🚺","🚹")</f>
        <v>🚺</v>
      </c>
      <c r="O865">
        <v>2</v>
      </c>
      <c r="P865" s="1">
        <v>20304</v>
      </c>
      <c r="Q865" s="7">
        <f>INT((crimenes_cordoba_ampliado[[#This Row],[Fecha]]-crimenes_cordoba_ampliado[[#This Row],[Fecha Nac. Víctima]])/365)</f>
        <v>67</v>
      </c>
      <c r="R865" s="7" t="str">
        <f>_xlfn.XLOOKUP(crimenes_cordoba_ampliado[[#This Row],[EDAD VICTIMA]],'Rango etareo'!$A$2:$A$25,'Rango etareo'!$B$2:$B$25,,-1)</f>
        <v>&gt;65</v>
      </c>
      <c r="S865" s="3" t="s">
        <v>21</v>
      </c>
      <c r="T865" s="3" t="str">
        <f>IF(crimenes_cordoba_ampliado[[#This Row],[Género Víctima]]="Masculino","🚹","🚺")</f>
        <v>🚺</v>
      </c>
      <c r="U865">
        <v>1</v>
      </c>
      <c r="V865" s="3" t="s">
        <v>23</v>
      </c>
      <c r="W865" s="3" t="s">
        <v>24</v>
      </c>
      <c r="X865" s="3" t="s">
        <v>24</v>
      </c>
      <c r="Y865" s="3" t="s">
        <v>106</v>
      </c>
      <c r="Z865" s="3" t="s">
        <v>25</v>
      </c>
      <c r="AA865" s="3" t="s">
        <v>25</v>
      </c>
      <c r="AB865" s="3" t="str">
        <f>IF(crimenes_cordoba_ampliado[[#This Row],[Hubo Arresto]]="Sí", "Resuelto", "Pendiente")</f>
        <v>Resuelto</v>
      </c>
      <c r="AC865" s="3" t="s">
        <v>124</v>
      </c>
      <c r="AD865" s="3"/>
    </row>
    <row r="866" spans="1:30" x14ac:dyDescent="0.25">
      <c r="A866">
        <v>224</v>
      </c>
      <c r="B866" s="1">
        <v>45230</v>
      </c>
      <c r="C866" s="33">
        <f t="shared" si="26"/>
        <v>45230</v>
      </c>
      <c r="D866" s="34">
        <f t="shared" si="27"/>
        <v>45230</v>
      </c>
      <c r="E866" s="35" t="s">
        <v>1453</v>
      </c>
      <c r="F866" s="2">
        <v>0.78333333333333333</v>
      </c>
      <c r="G866" s="3" t="s">
        <v>48</v>
      </c>
      <c r="H866" s="3" t="s">
        <v>55</v>
      </c>
      <c r="I866" s="25" t="str">
        <f>VLOOKUP(H866,Tabla5[#All],4,FALSE)</f>
        <v>-31,4015892433235, -64,160442876477</v>
      </c>
      <c r="J866" s="1">
        <v>27101</v>
      </c>
      <c r="K866" s="7">
        <f>INT((crimenes_cordoba_ampliado[[#This Row],[Fecha]]-crimenes_cordoba_ampliado[[#This Row],[Fecha Nac. Delincuente]])/365)</f>
        <v>49</v>
      </c>
      <c r="L866" s="7" t="str">
        <f>_xlfn.XLOOKUP(crimenes_cordoba_ampliado[[#This Row],[EDAD DELINCUENTE]],'Rango etareo'!$A$10:$A$25,'Rango etareo'!$B$10:$B$25,,-1)</f>
        <v>46 - 55</v>
      </c>
      <c r="M866" s="3" t="s">
        <v>22</v>
      </c>
      <c r="N866" s="3" t="str">
        <f>IF(crimenes_cordoba_ampliado[[#This Row],[Género Delincuente]]="Femenino","🚺","🚹")</f>
        <v>🚹</v>
      </c>
      <c r="O866">
        <v>4</v>
      </c>
      <c r="P866" s="1">
        <v>19682</v>
      </c>
      <c r="Q866" s="7">
        <f>INT((crimenes_cordoba_ampliado[[#This Row],[Fecha]]-crimenes_cordoba_ampliado[[#This Row],[Fecha Nac. Víctima]])/365)</f>
        <v>69</v>
      </c>
      <c r="R866" s="7" t="str">
        <f>_xlfn.XLOOKUP(crimenes_cordoba_ampliado[[#This Row],[EDAD VICTIMA]],'Rango etareo'!$A$2:$A$25,'Rango etareo'!$B$2:$B$25,,-1)</f>
        <v>&gt;65</v>
      </c>
      <c r="S866" s="3" t="s">
        <v>22</v>
      </c>
      <c r="T866" s="3" t="str">
        <f>IF(crimenes_cordoba_ampliado[[#This Row],[Género Víctima]]="Masculino","🚹","🚺")</f>
        <v>🚹</v>
      </c>
      <c r="U866">
        <v>2</v>
      </c>
      <c r="V866" s="3" t="s">
        <v>25</v>
      </c>
      <c r="W866" s="3" t="s">
        <v>36</v>
      </c>
      <c r="X866" s="3" t="s">
        <v>41</v>
      </c>
      <c r="Y866" s="3" t="s">
        <v>24</v>
      </c>
      <c r="Z866" s="3" t="s">
        <v>25</v>
      </c>
      <c r="AA866" s="3" t="s">
        <v>25</v>
      </c>
      <c r="AB866" s="3" t="str">
        <f>IF(crimenes_cordoba_ampliado[[#This Row],[Hubo Arresto]]="Sí", "Resuelto", "Pendiente")</f>
        <v>Pendiente</v>
      </c>
      <c r="AC866" s="3" t="s">
        <v>24</v>
      </c>
      <c r="AD866" s="3"/>
    </row>
    <row r="867" spans="1:30" x14ac:dyDescent="0.25">
      <c r="A867">
        <v>990</v>
      </c>
      <c r="B867" s="1">
        <v>45230</v>
      </c>
      <c r="C867" s="33">
        <f t="shared" si="26"/>
        <v>45230</v>
      </c>
      <c r="D867" s="34">
        <f t="shared" si="27"/>
        <v>45230</v>
      </c>
      <c r="E867" s="35" t="s">
        <v>1453</v>
      </c>
      <c r="F867" s="2">
        <v>0.29722222222222222</v>
      </c>
      <c r="G867" s="3" t="s">
        <v>81</v>
      </c>
      <c r="H867" s="3" t="s">
        <v>70</v>
      </c>
      <c r="I867" s="25" t="str">
        <f>VLOOKUP(H867,Tabla5[#All],4,FALSE)</f>
        <v>-31,3759272890294, -64,2284587792478</v>
      </c>
      <c r="J867" s="1">
        <v>37428</v>
      </c>
      <c r="K867" s="7">
        <f>INT((crimenes_cordoba_ampliado[[#This Row],[Fecha]]-crimenes_cordoba_ampliado[[#This Row],[Fecha Nac. Delincuente]])/365)</f>
        <v>21</v>
      </c>
      <c r="L867" s="7" t="str">
        <f>_xlfn.XLOOKUP(crimenes_cordoba_ampliado[[#This Row],[EDAD DELINCUENTE]],'Rango etareo'!$A$10:$A$25,'Rango etareo'!$B$10:$B$25,,-1)</f>
        <v>18 - 25</v>
      </c>
      <c r="M867" s="3" t="s">
        <v>21</v>
      </c>
      <c r="N867" s="3" t="str">
        <f>IF(crimenes_cordoba_ampliado[[#This Row],[Género Delincuente]]="Femenino","🚺","🚹")</f>
        <v>🚺</v>
      </c>
      <c r="O867">
        <v>5</v>
      </c>
      <c r="P867" s="1">
        <v>40701</v>
      </c>
      <c r="Q867" s="7">
        <f>INT((crimenes_cordoba_ampliado[[#This Row],[Fecha]]-crimenes_cordoba_ampliado[[#This Row],[Fecha Nac. Víctima]])/365)</f>
        <v>12</v>
      </c>
      <c r="R867" s="7" t="str">
        <f>_xlfn.XLOOKUP(crimenes_cordoba_ampliado[[#This Row],[EDAD VICTIMA]],'Rango etareo'!$A$2:$A$25,'Rango etareo'!$B$2:$B$25,,-1)</f>
        <v>&lt;=17</v>
      </c>
      <c r="S867" s="3" t="s">
        <v>21</v>
      </c>
      <c r="T867" s="3" t="str">
        <f>IF(crimenes_cordoba_ampliado[[#This Row],[Género Víctima]]="Masculino","🚹","🚺")</f>
        <v>🚺</v>
      </c>
      <c r="U867">
        <v>2</v>
      </c>
      <c r="V867" s="3" t="s">
        <v>25</v>
      </c>
      <c r="W867" s="3" t="s">
        <v>24</v>
      </c>
      <c r="X867" s="3" t="s">
        <v>24</v>
      </c>
      <c r="Y867" s="3" t="s">
        <v>106</v>
      </c>
      <c r="Z867" s="3" t="s">
        <v>25</v>
      </c>
      <c r="AA867" s="3" t="s">
        <v>25</v>
      </c>
      <c r="AB867" s="3" t="str">
        <f>IF(crimenes_cordoba_ampliado[[#This Row],[Hubo Arresto]]="Sí", "Resuelto", "Pendiente")</f>
        <v>Pendiente</v>
      </c>
      <c r="AC867" s="3" t="s">
        <v>24</v>
      </c>
      <c r="AD867" s="3"/>
    </row>
    <row r="868" spans="1:30" x14ac:dyDescent="0.25">
      <c r="A868">
        <v>860</v>
      </c>
      <c r="B868" s="1">
        <v>45066</v>
      </c>
      <c r="C868" s="33">
        <f t="shared" si="26"/>
        <v>45066</v>
      </c>
      <c r="D868" s="34">
        <f t="shared" si="27"/>
        <v>45066</v>
      </c>
      <c r="E868" s="35" t="s">
        <v>1451</v>
      </c>
      <c r="F868" s="2">
        <v>0.95694444444444449</v>
      </c>
      <c r="G868" s="3" t="s">
        <v>45</v>
      </c>
      <c r="H868" s="3" t="s">
        <v>49</v>
      </c>
      <c r="I868" s="25" t="str">
        <f>VLOOKUP(H868,Tabla5[#All],4,FALSE)</f>
        <v>-31,4506257494184, -64,1733054344705</v>
      </c>
      <c r="J868" s="1">
        <v>27419</v>
      </c>
      <c r="K868" s="7">
        <f>INT((crimenes_cordoba_ampliado[[#This Row],[Fecha]]-crimenes_cordoba_ampliado[[#This Row],[Fecha Nac. Delincuente]])/365)</f>
        <v>48</v>
      </c>
      <c r="L868" s="7" t="str">
        <f>_xlfn.XLOOKUP(crimenes_cordoba_ampliado[[#This Row],[EDAD DELINCUENTE]],'Rango etareo'!$A$10:$A$25,'Rango etareo'!$B$10:$B$25,,-1)</f>
        <v>46 - 55</v>
      </c>
      <c r="M868" s="3" t="s">
        <v>21</v>
      </c>
      <c r="N868" s="3" t="str">
        <f>IF(crimenes_cordoba_ampliado[[#This Row],[Género Delincuente]]="Femenino","🚺","🚹")</f>
        <v>🚺</v>
      </c>
      <c r="O868">
        <v>5</v>
      </c>
      <c r="P868" s="1">
        <v>23048</v>
      </c>
      <c r="Q868" s="7">
        <f>INT((crimenes_cordoba_ampliado[[#This Row],[Fecha]]-crimenes_cordoba_ampliado[[#This Row],[Fecha Nac. Víctima]])/365)</f>
        <v>60</v>
      </c>
      <c r="R868" s="7" t="str">
        <f>_xlfn.XLOOKUP(crimenes_cordoba_ampliado[[#This Row],[EDAD VICTIMA]],'Rango etareo'!$A$2:$A$25,'Rango etareo'!$B$2:$B$25,,-1)</f>
        <v>56 - 65</v>
      </c>
      <c r="S868" s="3" t="s">
        <v>21</v>
      </c>
      <c r="T868" s="3" t="str">
        <f>IF(crimenes_cordoba_ampliado[[#This Row],[Género Víctima]]="Masculino","🚹","🚺")</f>
        <v>🚺</v>
      </c>
      <c r="U868">
        <v>2</v>
      </c>
      <c r="V868" s="3" t="s">
        <v>23</v>
      </c>
      <c r="W868" s="3" t="s">
        <v>36</v>
      </c>
      <c r="X868" s="3" t="s">
        <v>29</v>
      </c>
      <c r="Y868" s="3" t="s">
        <v>24</v>
      </c>
      <c r="Z868" s="3" t="s">
        <v>23</v>
      </c>
      <c r="AA868" s="3" t="s">
        <v>23</v>
      </c>
      <c r="AB868" s="3" t="str">
        <f>IF(crimenes_cordoba_ampliado[[#This Row],[Hubo Arresto]]="Sí", "Resuelto", "Pendiente")</f>
        <v>Resuelto</v>
      </c>
      <c r="AC868" s="3" t="s">
        <v>210</v>
      </c>
      <c r="AD868" s="3"/>
    </row>
    <row r="869" spans="1:30" x14ac:dyDescent="0.25">
      <c r="A869">
        <v>861</v>
      </c>
      <c r="B869" s="1">
        <v>42053</v>
      </c>
      <c r="C869" s="33">
        <f t="shared" si="26"/>
        <v>42053</v>
      </c>
      <c r="D869" s="34">
        <f t="shared" si="27"/>
        <v>42053</v>
      </c>
      <c r="E869" s="35" t="s">
        <v>1450</v>
      </c>
      <c r="F869" s="2">
        <v>0.47708333333333336</v>
      </c>
      <c r="G869" s="3" t="s">
        <v>54</v>
      </c>
      <c r="H869" s="3" t="s">
        <v>28</v>
      </c>
      <c r="I869" s="25" t="str">
        <f>VLOOKUP(H869,Tabla5[#All],4,FALSE)</f>
        <v>-31,4129883640337, -64,1681120522587</v>
      </c>
      <c r="J869" s="1">
        <v>23672</v>
      </c>
      <c r="K869" s="7">
        <f>INT((crimenes_cordoba_ampliado[[#This Row],[Fecha]]-crimenes_cordoba_ampliado[[#This Row],[Fecha Nac. Delincuente]])/365)</f>
        <v>50</v>
      </c>
      <c r="L869" s="7" t="str">
        <f>_xlfn.XLOOKUP(crimenes_cordoba_ampliado[[#This Row],[EDAD DELINCUENTE]],'Rango etareo'!$A$10:$A$25,'Rango etareo'!$B$10:$B$25,,-1)</f>
        <v>46 - 55</v>
      </c>
      <c r="M869" s="3" t="s">
        <v>22</v>
      </c>
      <c r="N869" s="3" t="str">
        <f>IF(crimenes_cordoba_ampliado[[#This Row],[Género Delincuente]]="Femenino","🚺","🚹")</f>
        <v>🚹</v>
      </c>
      <c r="O869">
        <v>3</v>
      </c>
      <c r="P869" s="1">
        <v>33757</v>
      </c>
      <c r="Q869" s="7">
        <f>INT((crimenes_cordoba_ampliado[[#This Row],[Fecha]]-crimenes_cordoba_ampliado[[#This Row],[Fecha Nac. Víctima]])/365)</f>
        <v>22</v>
      </c>
      <c r="R869" s="7" t="str">
        <f>_xlfn.XLOOKUP(crimenes_cordoba_ampliado[[#This Row],[EDAD VICTIMA]],'Rango etareo'!$A$2:$A$25,'Rango etareo'!$B$2:$B$25,,-1)</f>
        <v>18 - 25</v>
      </c>
      <c r="S869" s="3" t="s">
        <v>22</v>
      </c>
      <c r="T869" s="3" t="str">
        <f>IF(crimenes_cordoba_ampliado[[#This Row],[Género Víctima]]="Masculino","🚹","🚺")</f>
        <v>🚹</v>
      </c>
      <c r="U869">
        <v>1</v>
      </c>
      <c r="V869" s="3" t="s">
        <v>23</v>
      </c>
      <c r="W869" s="3" t="s">
        <v>24</v>
      </c>
      <c r="X869" s="3" t="s">
        <v>24</v>
      </c>
      <c r="Y869" s="3" t="s">
        <v>39</v>
      </c>
      <c r="Z869" s="3" t="s">
        <v>25</v>
      </c>
      <c r="AA869" s="3" t="s">
        <v>23</v>
      </c>
      <c r="AB869" s="3" t="str">
        <f>IF(crimenes_cordoba_ampliado[[#This Row],[Hubo Arresto]]="Sí", "Resuelto", "Pendiente")</f>
        <v>Resuelto</v>
      </c>
      <c r="AC869" s="3" t="s">
        <v>195</v>
      </c>
      <c r="AD869" s="3"/>
    </row>
    <row r="870" spans="1:30" x14ac:dyDescent="0.25">
      <c r="A870">
        <v>862</v>
      </c>
      <c r="B870" s="1">
        <v>44609</v>
      </c>
      <c r="C870" s="33">
        <f t="shared" si="26"/>
        <v>44609</v>
      </c>
      <c r="D870" s="34">
        <f t="shared" si="27"/>
        <v>44609</v>
      </c>
      <c r="E870" s="35" t="s">
        <v>1454</v>
      </c>
      <c r="F870" s="2">
        <v>0.80972222222222223</v>
      </c>
      <c r="G870" s="3" t="s">
        <v>45</v>
      </c>
      <c r="H870" s="3" t="s">
        <v>62</v>
      </c>
      <c r="I870" s="25" t="str">
        <f>VLOOKUP(H870,Tabla5[#All],4,FALSE)</f>
        <v>-31,3909520937826, -64,1836424491715</v>
      </c>
      <c r="J870" s="1">
        <v>36765</v>
      </c>
      <c r="K870" s="7">
        <f>INT((crimenes_cordoba_ampliado[[#This Row],[Fecha]]-crimenes_cordoba_ampliado[[#This Row],[Fecha Nac. Delincuente]])/365)</f>
        <v>21</v>
      </c>
      <c r="L870" s="7" t="str">
        <f>_xlfn.XLOOKUP(crimenes_cordoba_ampliado[[#This Row],[EDAD DELINCUENTE]],'Rango etareo'!$A$10:$A$25,'Rango etareo'!$B$10:$B$25,,-1)</f>
        <v>18 - 25</v>
      </c>
      <c r="M870" s="3" t="s">
        <v>22</v>
      </c>
      <c r="N870" s="3" t="str">
        <f>IF(crimenes_cordoba_ampliado[[#This Row],[Género Delincuente]]="Femenino","🚺","🚹")</f>
        <v>🚹</v>
      </c>
      <c r="O870">
        <v>1</v>
      </c>
      <c r="P870" s="1">
        <v>22025</v>
      </c>
      <c r="Q870" s="7">
        <f>INT((crimenes_cordoba_ampliado[[#This Row],[Fecha]]-crimenes_cordoba_ampliado[[#This Row],[Fecha Nac. Víctima]])/365)</f>
        <v>61</v>
      </c>
      <c r="R870" s="7" t="str">
        <f>_xlfn.XLOOKUP(crimenes_cordoba_ampliado[[#This Row],[EDAD VICTIMA]],'Rango etareo'!$A$2:$A$25,'Rango etareo'!$B$2:$B$25,,-1)</f>
        <v>56 - 65</v>
      </c>
      <c r="S870" s="3" t="s">
        <v>21</v>
      </c>
      <c r="T870" s="3" t="str">
        <f>IF(crimenes_cordoba_ampliado[[#This Row],[Género Víctima]]="Masculino","🚹","🚺")</f>
        <v>🚺</v>
      </c>
      <c r="U870">
        <v>3</v>
      </c>
      <c r="V870" s="3" t="s">
        <v>23</v>
      </c>
      <c r="W870" s="3" t="s">
        <v>24</v>
      </c>
      <c r="X870" s="3" t="s">
        <v>24</v>
      </c>
      <c r="Y870" s="3" t="s">
        <v>98</v>
      </c>
      <c r="Z870" s="3" t="s">
        <v>23</v>
      </c>
      <c r="AA870" s="3" t="s">
        <v>25</v>
      </c>
      <c r="AB870" s="3" t="str">
        <f>IF(crimenes_cordoba_ampliado[[#This Row],[Hubo Arresto]]="Sí", "Resuelto", "Pendiente")</f>
        <v>Resuelto</v>
      </c>
      <c r="AC870" s="3" t="s">
        <v>310</v>
      </c>
      <c r="AD870" s="3"/>
    </row>
    <row r="871" spans="1:30" x14ac:dyDescent="0.25">
      <c r="A871">
        <v>863</v>
      </c>
      <c r="B871" s="1">
        <v>45357</v>
      </c>
      <c r="C871" s="33">
        <f t="shared" si="26"/>
        <v>45357</v>
      </c>
      <c r="D871" s="34">
        <f t="shared" si="27"/>
        <v>45357</v>
      </c>
      <c r="E871" s="35" t="s">
        <v>1450</v>
      </c>
      <c r="F871" s="2">
        <v>0.77430555555555558</v>
      </c>
      <c r="G871" s="3" t="s">
        <v>27</v>
      </c>
      <c r="H871" s="3" t="s">
        <v>65</v>
      </c>
      <c r="I871" s="25" t="str">
        <f>VLOOKUP(H871,Tabla5[#All],4,FALSE)</f>
        <v>-31,4285567311661, -64,1853198281007</v>
      </c>
      <c r="J871" s="1">
        <v>30692</v>
      </c>
      <c r="K871" s="7">
        <f>INT((crimenes_cordoba_ampliado[[#This Row],[Fecha]]-crimenes_cordoba_ampliado[[#This Row],[Fecha Nac. Delincuente]])/365)</f>
        <v>40</v>
      </c>
      <c r="L871" s="7" t="str">
        <f>_xlfn.XLOOKUP(crimenes_cordoba_ampliado[[#This Row],[EDAD DELINCUENTE]],'Rango etareo'!$A$10:$A$25,'Rango etareo'!$B$10:$B$25,,-1)</f>
        <v>36 - 45</v>
      </c>
      <c r="M871" s="3" t="s">
        <v>22</v>
      </c>
      <c r="N871" s="3" t="str">
        <f>IF(crimenes_cordoba_ampliado[[#This Row],[Género Delincuente]]="Femenino","🚺","🚹")</f>
        <v>🚹</v>
      </c>
      <c r="O871">
        <v>3</v>
      </c>
      <c r="P871" s="1">
        <v>41617</v>
      </c>
      <c r="Q871" s="7">
        <f>INT((crimenes_cordoba_ampliado[[#This Row],[Fecha]]-crimenes_cordoba_ampliado[[#This Row],[Fecha Nac. Víctima]])/365)</f>
        <v>10</v>
      </c>
      <c r="R871" s="7" t="str">
        <f>_xlfn.XLOOKUP(crimenes_cordoba_ampliado[[#This Row],[EDAD VICTIMA]],'Rango etareo'!$A$2:$A$25,'Rango etareo'!$B$2:$B$25,,-1)</f>
        <v>&lt;=17</v>
      </c>
      <c r="S871" s="3" t="s">
        <v>21</v>
      </c>
      <c r="T871" s="3" t="str">
        <f>IF(crimenes_cordoba_ampliado[[#This Row],[Género Víctima]]="Masculino","🚹","🚺")</f>
        <v>🚺</v>
      </c>
      <c r="U871">
        <v>1</v>
      </c>
      <c r="V871" s="3" t="s">
        <v>23</v>
      </c>
      <c r="W871" s="3" t="s">
        <v>24</v>
      </c>
      <c r="X871" s="3" t="s">
        <v>24</v>
      </c>
      <c r="Y871" s="3" t="s">
        <v>80</v>
      </c>
      <c r="Z871" s="3" t="s">
        <v>23</v>
      </c>
      <c r="AA871" s="3" t="s">
        <v>23</v>
      </c>
      <c r="AB871" s="3" t="str">
        <f>IF(crimenes_cordoba_ampliado[[#This Row],[Hubo Arresto]]="Sí", "Resuelto", "Pendiente")</f>
        <v>Resuelto</v>
      </c>
      <c r="AC871" s="3" t="s">
        <v>206</v>
      </c>
      <c r="AD871" s="3"/>
    </row>
    <row r="872" spans="1:30" x14ac:dyDescent="0.25">
      <c r="A872">
        <v>864</v>
      </c>
      <c r="B872" s="1">
        <v>45497</v>
      </c>
      <c r="C872" s="33">
        <f t="shared" si="26"/>
        <v>45497</v>
      </c>
      <c r="D872" s="34">
        <f t="shared" si="27"/>
        <v>45497</v>
      </c>
      <c r="E872" s="35" t="s">
        <v>1450</v>
      </c>
      <c r="F872" s="2">
        <v>0.88055555555555554</v>
      </c>
      <c r="G872" s="3" t="s">
        <v>19</v>
      </c>
      <c r="H872" s="3" t="s">
        <v>40</v>
      </c>
      <c r="I872" s="25" t="str">
        <f>VLOOKUP(H872,Tabla5[#All],4,FALSE)</f>
        <v>-31,334500143441, -64,2460773260564</v>
      </c>
      <c r="J872" s="1">
        <v>18355</v>
      </c>
      <c r="K872" s="7">
        <f>INT((crimenes_cordoba_ampliado[[#This Row],[Fecha]]-crimenes_cordoba_ampliado[[#This Row],[Fecha Nac. Delincuente]])/365)</f>
        <v>74</v>
      </c>
      <c r="L872" s="7" t="str">
        <f>_xlfn.XLOOKUP(crimenes_cordoba_ampliado[[#This Row],[EDAD DELINCUENTE]],'Rango etareo'!$A$10:$A$25,'Rango etareo'!$B$10:$B$25,,-1)</f>
        <v>&gt;65</v>
      </c>
      <c r="M872" s="3" t="s">
        <v>21</v>
      </c>
      <c r="N872" s="3" t="str">
        <f>IF(crimenes_cordoba_ampliado[[#This Row],[Género Delincuente]]="Femenino","🚺","🚹")</f>
        <v>🚺</v>
      </c>
      <c r="O872">
        <v>5</v>
      </c>
      <c r="P872" s="1">
        <v>36123</v>
      </c>
      <c r="Q872" s="7">
        <f>INT((crimenes_cordoba_ampliado[[#This Row],[Fecha]]-crimenes_cordoba_ampliado[[#This Row],[Fecha Nac. Víctima]])/365)</f>
        <v>25</v>
      </c>
      <c r="R872" s="7" t="str">
        <f>_xlfn.XLOOKUP(crimenes_cordoba_ampliado[[#This Row],[EDAD VICTIMA]],'Rango etareo'!$A$2:$A$25,'Rango etareo'!$B$2:$B$25,,-1)</f>
        <v>18 - 25</v>
      </c>
      <c r="S872" s="3" t="s">
        <v>22</v>
      </c>
      <c r="T872" s="3" t="str">
        <f>IF(crimenes_cordoba_ampliado[[#This Row],[Género Víctima]]="Masculino","🚹","🚺")</f>
        <v>🚹</v>
      </c>
      <c r="U872">
        <v>3</v>
      </c>
      <c r="V872" s="3" t="s">
        <v>23</v>
      </c>
      <c r="W872" s="3" t="s">
        <v>24</v>
      </c>
      <c r="X872" s="3" t="s">
        <v>24</v>
      </c>
      <c r="Y872" s="3" t="s">
        <v>106</v>
      </c>
      <c r="Z872" s="3" t="s">
        <v>25</v>
      </c>
      <c r="AA872" s="3" t="s">
        <v>25</v>
      </c>
      <c r="AB872" s="3" t="str">
        <f>IF(crimenes_cordoba_ampliado[[#This Row],[Hubo Arresto]]="Sí", "Resuelto", "Pendiente")</f>
        <v>Resuelto</v>
      </c>
      <c r="AC872" s="3" t="s">
        <v>265</v>
      </c>
      <c r="AD872" s="3"/>
    </row>
    <row r="873" spans="1:30" x14ac:dyDescent="0.25">
      <c r="A873">
        <v>865</v>
      </c>
      <c r="B873" s="1">
        <v>42038</v>
      </c>
      <c r="C873" s="33">
        <f t="shared" si="26"/>
        <v>42038</v>
      </c>
      <c r="D873" s="34">
        <f t="shared" si="27"/>
        <v>42038</v>
      </c>
      <c r="E873" s="35" t="s">
        <v>1453</v>
      </c>
      <c r="F873" s="2">
        <v>0.77361111111111114</v>
      </c>
      <c r="G873" s="3" t="s">
        <v>19</v>
      </c>
      <c r="H873" s="3" t="s">
        <v>28</v>
      </c>
      <c r="I873" s="25" t="str">
        <f>VLOOKUP(H873,Tabla5[#All],4,FALSE)</f>
        <v>-31,4129883640337, -64,1681120522587</v>
      </c>
      <c r="J873" s="1">
        <v>32985</v>
      </c>
      <c r="K873" s="7">
        <f>INT((crimenes_cordoba_ampliado[[#This Row],[Fecha]]-crimenes_cordoba_ampliado[[#This Row],[Fecha Nac. Delincuente]])/365)</f>
        <v>24</v>
      </c>
      <c r="L873" s="7" t="str">
        <f>_xlfn.XLOOKUP(crimenes_cordoba_ampliado[[#This Row],[EDAD DELINCUENTE]],'Rango etareo'!$A$10:$A$25,'Rango etareo'!$B$10:$B$25,,-1)</f>
        <v>18 - 25</v>
      </c>
      <c r="M873" s="3" t="s">
        <v>22</v>
      </c>
      <c r="N873" s="3" t="str">
        <f>IF(crimenes_cordoba_ampliado[[#This Row],[Género Delincuente]]="Femenino","🚺","🚹")</f>
        <v>🚹</v>
      </c>
      <c r="O873">
        <v>3</v>
      </c>
      <c r="P873" s="1">
        <v>28264</v>
      </c>
      <c r="Q873" s="7">
        <f>INT((crimenes_cordoba_ampliado[[#This Row],[Fecha]]-crimenes_cordoba_ampliado[[#This Row],[Fecha Nac. Víctima]])/365)</f>
        <v>37</v>
      </c>
      <c r="R873" s="7" t="str">
        <f>_xlfn.XLOOKUP(crimenes_cordoba_ampliado[[#This Row],[EDAD VICTIMA]],'Rango etareo'!$A$2:$A$25,'Rango etareo'!$B$2:$B$25,,-1)</f>
        <v>36 - 45</v>
      </c>
      <c r="S873" s="3" t="s">
        <v>21</v>
      </c>
      <c r="T873" s="3" t="str">
        <f>IF(crimenes_cordoba_ampliado[[#This Row],[Género Víctima]]="Masculino","🚹","🚺")</f>
        <v>🚺</v>
      </c>
      <c r="U873">
        <v>3</v>
      </c>
      <c r="V873" s="3" t="s">
        <v>23</v>
      </c>
      <c r="W873" s="3" t="s">
        <v>24</v>
      </c>
      <c r="X873" s="3" t="s">
        <v>24</v>
      </c>
      <c r="Y873" s="3" t="s">
        <v>86</v>
      </c>
      <c r="Z873" s="3" t="s">
        <v>25</v>
      </c>
      <c r="AA873" s="3" t="s">
        <v>23</v>
      </c>
      <c r="AB873" s="3" t="str">
        <f>IF(crimenes_cordoba_ampliado[[#This Row],[Hubo Arresto]]="Sí", "Resuelto", "Pendiente")</f>
        <v>Resuelto</v>
      </c>
      <c r="AC873" s="3" t="s">
        <v>310</v>
      </c>
      <c r="AD873" s="3"/>
    </row>
    <row r="874" spans="1:30" x14ac:dyDescent="0.25">
      <c r="A874">
        <v>995</v>
      </c>
      <c r="B874" s="1">
        <v>45251</v>
      </c>
      <c r="C874" s="33">
        <f t="shared" si="26"/>
        <v>45251</v>
      </c>
      <c r="D874" s="34">
        <f t="shared" si="27"/>
        <v>45251</v>
      </c>
      <c r="E874" s="35" t="s">
        <v>1453</v>
      </c>
      <c r="F874" s="2">
        <v>0.49027777777777776</v>
      </c>
      <c r="G874" s="3" t="s">
        <v>35</v>
      </c>
      <c r="H874" s="3" t="s">
        <v>65</v>
      </c>
      <c r="I874" s="25" t="str">
        <f>VLOOKUP(H874,Tabla5[#All],4,FALSE)</f>
        <v>-31,4285567311661, -64,1853198281007</v>
      </c>
      <c r="J874" s="1">
        <v>38280</v>
      </c>
      <c r="K874" s="7">
        <f>INT((crimenes_cordoba_ampliado[[#This Row],[Fecha]]-crimenes_cordoba_ampliado[[#This Row],[Fecha Nac. Delincuente]])/365)</f>
        <v>19</v>
      </c>
      <c r="L874" s="7" t="str">
        <f>_xlfn.XLOOKUP(crimenes_cordoba_ampliado[[#This Row],[EDAD DELINCUENTE]],'Rango etareo'!$A$10:$A$25,'Rango etareo'!$B$10:$B$25,,-1)</f>
        <v>18 - 25</v>
      </c>
      <c r="M874" s="3" t="s">
        <v>21</v>
      </c>
      <c r="N874" s="3" t="str">
        <f>IF(crimenes_cordoba_ampliado[[#This Row],[Género Delincuente]]="Femenino","🚺","🚹")</f>
        <v>🚺</v>
      </c>
      <c r="O874">
        <v>4</v>
      </c>
      <c r="P874" s="1">
        <v>27593</v>
      </c>
      <c r="Q874" s="7">
        <f>INT((crimenes_cordoba_ampliado[[#This Row],[Fecha]]-crimenes_cordoba_ampliado[[#This Row],[Fecha Nac. Víctima]])/365)</f>
        <v>48</v>
      </c>
      <c r="R874" s="7" t="str">
        <f>_xlfn.XLOOKUP(crimenes_cordoba_ampliado[[#This Row],[EDAD VICTIMA]],'Rango etareo'!$A$2:$A$25,'Rango etareo'!$B$2:$B$25,,-1)</f>
        <v>46 - 55</v>
      </c>
      <c r="S874" s="3" t="s">
        <v>21</v>
      </c>
      <c r="T874" s="3" t="str">
        <f>IF(crimenes_cordoba_ampliado[[#This Row],[Género Víctima]]="Masculino","🚹","🚺")</f>
        <v>🚺</v>
      </c>
      <c r="U874">
        <v>1</v>
      </c>
      <c r="V874" s="3" t="s">
        <v>25</v>
      </c>
      <c r="W874" s="3" t="s">
        <v>24</v>
      </c>
      <c r="X874" s="3" t="s">
        <v>24</v>
      </c>
      <c r="Y874" s="3" t="s">
        <v>24</v>
      </c>
      <c r="Z874" s="3" t="s">
        <v>23</v>
      </c>
      <c r="AA874" s="3" t="s">
        <v>23</v>
      </c>
      <c r="AB874" s="3" t="str">
        <f>IF(crimenes_cordoba_ampliado[[#This Row],[Hubo Arresto]]="Sí", "Resuelto", "Pendiente")</f>
        <v>Pendiente</v>
      </c>
      <c r="AC874" s="3" t="s">
        <v>24</v>
      </c>
      <c r="AD874" s="3"/>
    </row>
    <row r="875" spans="1:30" x14ac:dyDescent="0.25">
      <c r="A875">
        <v>866</v>
      </c>
      <c r="B875" s="1">
        <v>45611</v>
      </c>
      <c r="C875" s="33">
        <f t="shared" si="26"/>
        <v>45611</v>
      </c>
      <c r="D875" s="34">
        <f t="shared" si="27"/>
        <v>45611</v>
      </c>
      <c r="E875" s="35" t="s">
        <v>1455</v>
      </c>
      <c r="F875" s="2">
        <v>0.87916666666666665</v>
      </c>
      <c r="G875" s="3" t="s">
        <v>45</v>
      </c>
      <c r="H875" s="3" t="s">
        <v>28</v>
      </c>
      <c r="I875" s="25" t="str">
        <f>VLOOKUP(H875,Tabla5[#All],4,FALSE)</f>
        <v>-31,4129883640337, -64,1681120522587</v>
      </c>
      <c r="J875" s="1">
        <v>22622</v>
      </c>
      <c r="K875" s="7">
        <f>INT((crimenes_cordoba_ampliado[[#This Row],[Fecha]]-crimenes_cordoba_ampliado[[#This Row],[Fecha Nac. Delincuente]])/365)</f>
        <v>62</v>
      </c>
      <c r="L875" s="7" t="str">
        <f>_xlfn.XLOOKUP(crimenes_cordoba_ampliado[[#This Row],[EDAD DELINCUENTE]],'Rango etareo'!$A$10:$A$25,'Rango etareo'!$B$10:$B$25,,-1)</f>
        <v>56 - 65</v>
      </c>
      <c r="M875" s="3" t="s">
        <v>22</v>
      </c>
      <c r="N875" s="3" t="str">
        <f>IF(crimenes_cordoba_ampliado[[#This Row],[Género Delincuente]]="Femenino","🚺","🚹")</f>
        <v>🚹</v>
      </c>
      <c r="O875">
        <v>1</v>
      </c>
      <c r="P875" s="1">
        <v>15817</v>
      </c>
      <c r="Q875" s="7">
        <f>INT((crimenes_cordoba_ampliado[[#This Row],[Fecha]]-crimenes_cordoba_ampliado[[#This Row],[Fecha Nac. Víctima]])/365)</f>
        <v>81</v>
      </c>
      <c r="R875" s="7" t="str">
        <f>_xlfn.XLOOKUP(crimenes_cordoba_ampliado[[#This Row],[EDAD VICTIMA]],'Rango etareo'!$A$2:$A$25,'Rango etareo'!$B$2:$B$25,,-1)</f>
        <v>&gt;65</v>
      </c>
      <c r="S875" s="3" t="s">
        <v>22</v>
      </c>
      <c r="T875" s="3" t="str">
        <f>IF(crimenes_cordoba_ampliado[[#This Row],[Género Víctima]]="Masculino","🚹","🚺")</f>
        <v>🚹</v>
      </c>
      <c r="U875">
        <v>1</v>
      </c>
      <c r="V875" s="3" t="s">
        <v>23</v>
      </c>
      <c r="W875" s="3" t="s">
        <v>83</v>
      </c>
      <c r="X875" s="3" t="s">
        <v>29</v>
      </c>
      <c r="Y875" s="3" t="s">
        <v>24</v>
      </c>
      <c r="Z875" s="3" t="s">
        <v>25</v>
      </c>
      <c r="AA875" s="3" t="s">
        <v>25</v>
      </c>
      <c r="AB875" s="3" t="str">
        <f>IF(crimenes_cordoba_ampliado[[#This Row],[Hubo Arresto]]="Sí", "Resuelto", "Pendiente")</f>
        <v>Resuelto</v>
      </c>
      <c r="AC875" s="3" t="s">
        <v>272</v>
      </c>
      <c r="AD875" s="3"/>
    </row>
    <row r="876" spans="1:30" x14ac:dyDescent="0.25">
      <c r="A876">
        <v>335</v>
      </c>
      <c r="B876" s="1">
        <v>45258</v>
      </c>
      <c r="C876" s="33">
        <f t="shared" si="26"/>
        <v>45258</v>
      </c>
      <c r="D876" s="34">
        <f t="shared" si="27"/>
        <v>45258</v>
      </c>
      <c r="E876" s="35" t="s">
        <v>1453</v>
      </c>
      <c r="F876" s="2">
        <v>0.96111111111111114</v>
      </c>
      <c r="G876" s="3" t="s">
        <v>45</v>
      </c>
      <c r="H876" s="3" t="s">
        <v>49</v>
      </c>
      <c r="I876" s="25" t="str">
        <f>VLOOKUP(H876,Tabla5[#All],4,FALSE)</f>
        <v>-31,4506257494184, -64,1733054344705</v>
      </c>
      <c r="J876" s="1">
        <v>27444</v>
      </c>
      <c r="K876" s="7">
        <f>INT((crimenes_cordoba_ampliado[[#This Row],[Fecha]]-crimenes_cordoba_ampliado[[#This Row],[Fecha Nac. Delincuente]])/365)</f>
        <v>48</v>
      </c>
      <c r="L876" s="7" t="str">
        <f>_xlfn.XLOOKUP(crimenes_cordoba_ampliado[[#This Row],[EDAD DELINCUENTE]],'Rango etareo'!$A$10:$A$25,'Rango etareo'!$B$10:$B$25,,-1)</f>
        <v>46 - 55</v>
      </c>
      <c r="M876" s="3" t="s">
        <v>22</v>
      </c>
      <c r="N876" s="3" t="str">
        <f>IF(crimenes_cordoba_ampliado[[#This Row],[Género Delincuente]]="Femenino","🚺","🚹")</f>
        <v>🚹</v>
      </c>
      <c r="O876">
        <v>4</v>
      </c>
      <c r="P876" s="1">
        <v>19780</v>
      </c>
      <c r="Q876" s="7">
        <f>INT((crimenes_cordoba_ampliado[[#This Row],[Fecha]]-crimenes_cordoba_ampliado[[#This Row],[Fecha Nac. Víctima]])/365)</f>
        <v>69</v>
      </c>
      <c r="R876" s="7" t="str">
        <f>_xlfn.XLOOKUP(crimenes_cordoba_ampliado[[#This Row],[EDAD VICTIMA]],'Rango etareo'!$A$2:$A$25,'Rango etareo'!$B$2:$B$25,,-1)</f>
        <v>&gt;65</v>
      </c>
      <c r="S876" s="3" t="s">
        <v>21</v>
      </c>
      <c r="T876" s="3" t="str">
        <f>IF(crimenes_cordoba_ampliado[[#This Row],[Género Víctima]]="Masculino","🚹","🚺")</f>
        <v>🚺</v>
      </c>
      <c r="U876">
        <v>1</v>
      </c>
      <c r="V876" s="3" t="s">
        <v>25</v>
      </c>
      <c r="W876" s="3" t="s">
        <v>71</v>
      </c>
      <c r="X876" s="3" t="s">
        <v>24</v>
      </c>
      <c r="Y876" s="3" t="s">
        <v>64</v>
      </c>
      <c r="Z876" s="3" t="s">
        <v>25</v>
      </c>
      <c r="AA876" s="3" t="s">
        <v>23</v>
      </c>
      <c r="AB876" s="3" t="str">
        <f>IF(crimenes_cordoba_ampliado[[#This Row],[Hubo Arresto]]="Sí", "Resuelto", "Pendiente")</f>
        <v>Pendiente</v>
      </c>
      <c r="AC876" s="3" t="s">
        <v>24</v>
      </c>
      <c r="AD876" s="3"/>
    </row>
    <row r="877" spans="1:30" x14ac:dyDescent="0.25">
      <c r="A877">
        <v>868</v>
      </c>
      <c r="B877" s="1">
        <v>43685</v>
      </c>
      <c r="C877" s="33">
        <f t="shared" si="26"/>
        <v>43685</v>
      </c>
      <c r="D877" s="34">
        <f t="shared" si="27"/>
        <v>43685</v>
      </c>
      <c r="E877" s="35" t="s">
        <v>1454</v>
      </c>
      <c r="F877" s="2">
        <v>0.91597222222222219</v>
      </c>
      <c r="G877" s="3" t="s">
        <v>38</v>
      </c>
      <c r="H877" s="3" t="s">
        <v>55</v>
      </c>
      <c r="I877" s="25" t="str">
        <f>VLOOKUP(H877,Tabla5[#All],4,FALSE)</f>
        <v>-31,4015892433235, -64,160442876477</v>
      </c>
      <c r="J877" s="1">
        <v>28654</v>
      </c>
      <c r="K877" s="7">
        <f>INT((crimenes_cordoba_ampliado[[#This Row],[Fecha]]-crimenes_cordoba_ampliado[[#This Row],[Fecha Nac. Delincuente]])/365)</f>
        <v>41</v>
      </c>
      <c r="L877" s="7" t="str">
        <f>_xlfn.XLOOKUP(crimenes_cordoba_ampliado[[#This Row],[EDAD DELINCUENTE]],'Rango etareo'!$A$10:$A$25,'Rango etareo'!$B$10:$B$25,,-1)</f>
        <v>36 - 45</v>
      </c>
      <c r="M877" s="3" t="s">
        <v>22</v>
      </c>
      <c r="N877" s="3" t="str">
        <f>IF(crimenes_cordoba_ampliado[[#This Row],[Género Delincuente]]="Femenino","🚺","🚹")</f>
        <v>🚹</v>
      </c>
      <c r="O877">
        <v>5</v>
      </c>
      <c r="P877" s="1">
        <v>29255</v>
      </c>
      <c r="Q877" s="7">
        <f>INT((crimenes_cordoba_ampliado[[#This Row],[Fecha]]-crimenes_cordoba_ampliado[[#This Row],[Fecha Nac. Víctima]])/365)</f>
        <v>39</v>
      </c>
      <c r="R877" s="7" t="str">
        <f>_xlfn.XLOOKUP(crimenes_cordoba_ampliado[[#This Row],[EDAD VICTIMA]],'Rango etareo'!$A$2:$A$25,'Rango etareo'!$B$2:$B$25,,-1)</f>
        <v>36 - 45</v>
      </c>
      <c r="S877" s="3" t="s">
        <v>21</v>
      </c>
      <c r="T877" s="3" t="str">
        <f>IF(crimenes_cordoba_ampliado[[#This Row],[Género Víctima]]="Masculino","🚹","🚺")</f>
        <v>🚺</v>
      </c>
      <c r="U877">
        <v>2</v>
      </c>
      <c r="V877" s="3" t="s">
        <v>23</v>
      </c>
      <c r="W877" s="3" t="s">
        <v>24</v>
      </c>
      <c r="X877" s="3" t="s">
        <v>24</v>
      </c>
      <c r="Y877" s="3" t="s">
        <v>80</v>
      </c>
      <c r="Z877" s="3" t="s">
        <v>25</v>
      </c>
      <c r="AA877" s="3" t="s">
        <v>23</v>
      </c>
      <c r="AB877" s="3" t="str">
        <f>IF(crimenes_cordoba_ampliado[[#This Row],[Hubo Arresto]]="Sí", "Resuelto", "Pendiente")</f>
        <v>Resuelto</v>
      </c>
      <c r="AC877" s="3" t="s">
        <v>311</v>
      </c>
      <c r="AD877" s="3"/>
    </row>
    <row r="878" spans="1:30" x14ac:dyDescent="0.25">
      <c r="A878">
        <v>201</v>
      </c>
      <c r="B878" s="1">
        <v>45263</v>
      </c>
      <c r="C878" s="33">
        <f t="shared" si="26"/>
        <v>45263</v>
      </c>
      <c r="D878" s="34">
        <f t="shared" si="27"/>
        <v>45263</v>
      </c>
      <c r="E878" s="35" t="s">
        <v>1449</v>
      </c>
      <c r="F878" s="2">
        <v>0.52847222222222223</v>
      </c>
      <c r="G878" s="3" t="s">
        <v>54</v>
      </c>
      <c r="H878" s="3" t="s">
        <v>60</v>
      </c>
      <c r="I878" s="25" t="str">
        <f>VLOOKUP(H878,Tabla5[#All],4,FALSE)</f>
        <v>-31,4076397196409, -64,2020170430678</v>
      </c>
      <c r="J878" s="1">
        <v>23764</v>
      </c>
      <c r="K878" s="7">
        <f>INT((crimenes_cordoba_ampliado[[#This Row],[Fecha]]-crimenes_cordoba_ampliado[[#This Row],[Fecha Nac. Delincuente]])/365)</f>
        <v>58</v>
      </c>
      <c r="L878" s="7" t="str">
        <f>_xlfn.XLOOKUP(crimenes_cordoba_ampliado[[#This Row],[EDAD DELINCUENTE]],'Rango etareo'!$A$10:$A$25,'Rango etareo'!$B$10:$B$25,,-1)</f>
        <v>56 - 65</v>
      </c>
      <c r="M878" s="3" t="s">
        <v>22</v>
      </c>
      <c r="N878" s="3" t="str">
        <f>IF(crimenes_cordoba_ampliado[[#This Row],[Género Delincuente]]="Femenino","🚺","🚹")</f>
        <v>🚹</v>
      </c>
      <c r="O878">
        <v>2</v>
      </c>
      <c r="P878" s="1">
        <v>23782</v>
      </c>
      <c r="Q878" s="7">
        <f>INT((crimenes_cordoba_ampliado[[#This Row],[Fecha]]-crimenes_cordoba_ampliado[[#This Row],[Fecha Nac. Víctima]])/365)</f>
        <v>58</v>
      </c>
      <c r="R878" s="7" t="str">
        <f>_xlfn.XLOOKUP(crimenes_cordoba_ampliado[[#This Row],[EDAD VICTIMA]],'Rango etareo'!$A$2:$A$25,'Rango etareo'!$B$2:$B$25,,-1)</f>
        <v>56 - 65</v>
      </c>
      <c r="S878" s="3" t="s">
        <v>22</v>
      </c>
      <c r="T878" s="3" t="str">
        <f>IF(crimenes_cordoba_ampliado[[#This Row],[Género Víctima]]="Masculino","🚹","🚺")</f>
        <v>🚹</v>
      </c>
      <c r="U878">
        <v>1</v>
      </c>
      <c r="V878" s="3" t="s">
        <v>25</v>
      </c>
      <c r="W878" s="3" t="s">
        <v>24</v>
      </c>
      <c r="X878" s="3" t="s">
        <v>24</v>
      </c>
      <c r="Y878" s="3" t="s">
        <v>24</v>
      </c>
      <c r="Z878" s="3" t="s">
        <v>25</v>
      </c>
      <c r="AA878" s="3" t="s">
        <v>25</v>
      </c>
      <c r="AB878" s="3" t="str">
        <f>IF(crimenes_cordoba_ampliado[[#This Row],[Hubo Arresto]]="Sí", "Resuelto", "Pendiente")</f>
        <v>Pendiente</v>
      </c>
      <c r="AC878" s="3" t="s">
        <v>24</v>
      </c>
      <c r="AD878" s="3"/>
    </row>
    <row r="879" spans="1:30" x14ac:dyDescent="0.25">
      <c r="A879">
        <v>869</v>
      </c>
      <c r="B879" s="1">
        <v>42720</v>
      </c>
      <c r="C879" s="33">
        <f t="shared" si="26"/>
        <v>42720</v>
      </c>
      <c r="D879" s="34">
        <f t="shared" si="27"/>
        <v>42720</v>
      </c>
      <c r="E879" s="35" t="s">
        <v>1455</v>
      </c>
      <c r="F879" s="2">
        <v>1.8749999999999999E-2</v>
      </c>
      <c r="G879" s="3" t="s">
        <v>54</v>
      </c>
      <c r="H879" s="3" t="s">
        <v>52</v>
      </c>
      <c r="I879" s="25" t="str">
        <f>VLOOKUP(H879,Tabla5[#All],4,FALSE)</f>
        <v>-31,3477902896523, -64,2644406169297</v>
      </c>
      <c r="J879" s="1">
        <v>34820</v>
      </c>
      <c r="K879" s="7">
        <f>INT((crimenes_cordoba_ampliado[[#This Row],[Fecha]]-crimenes_cordoba_ampliado[[#This Row],[Fecha Nac. Delincuente]])/365)</f>
        <v>21</v>
      </c>
      <c r="L879" s="7" t="str">
        <f>_xlfn.XLOOKUP(crimenes_cordoba_ampliado[[#This Row],[EDAD DELINCUENTE]],'Rango etareo'!$A$10:$A$25,'Rango etareo'!$B$10:$B$25,,-1)</f>
        <v>18 - 25</v>
      </c>
      <c r="M879" s="3" t="s">
        <v>22</v>
      </c>
      <c r="N879" s="3" t="str">
        <f>IF(crimenes_cordoba_ampliado[[#This Row],[Género Delincuente]]="Femenino","🚺","🚹")</f>
        <v>🚹</v>
      </c>
      <c r="O879">
        <v>5</v>
      </c>
      <c r="P879" s="1">
        <v>41268</v>
      </c>
      <c r="Q879" s="7">
        <f>INT((crimenes_cordoba_ampliado[[#This Row],[Fecha]]-crimenes_cordoba_ampliado[[#This Row],[Fecha Nac. Víctima]])/365)</f>
        <v>3</v>
      </c>
      <c r="R879" s="7" t="str">
        <f>_xlfn.XLOOKUP(crimenes_cordoba_ampliado[[#This Row],[EDAD VICTIMA]],'Rango etareo'!$A$2:$A$25,'Rango etareo'!$B$2:$B$25,,-1)</f>
        <v>&lt;=17</v>
      </c>
      <c r="S879" s="3" t="s">
        <v>22</v>
      </c>
      <c r="T879" s="3" t="str">
        <f>IF(crimenes_cordoba_ampliado[[#This Row],[Género Víctima]]="Masculino","🚹","🚺")</f>
        <v>🚹</v>
      </c>
      <c r="U879">
        <v>1</v>
      </c>
      <c r="V879" s="3" t="s">
        <v>23</v>
      </c>
      <c r="W879" s="3" t="s">
        <v>24</v>
      </c>
      <c r="X879" s="3" t="s">
        <v>24</v>
      </c>
      <c r="Y879" s="3" t="s">
        <v>113</v>
      </c>
      <c r="Z879" s="3" t="s">
        <v>25</v>
      </c>
      <c r="AA879" s="3" t="s">
        <v>23</v>
      </c>
      <c r="AB879" s="3" t="str">
        <f>IF(crimenes_cordoba_ampliado[[#This Row],[Hubo Arresto]]="Sí", "Resuelto", "Pendiente")</f>
        <v>Resuelto</v>
      </c>
      <c r="AC879" s="3" t="s">
        <v>218</v>
      </c>
      <c r="AD879" s="3"/>
    </row>
    <row r="880" spans="1:30" x14ac:dyDescent="0.25">
      <c r="A880">
        <v>870</v>
      </c>
      <c r="B880" s="1">
        <v>43979</v>
      </c>
      <c r="C880" s="33">
        <f t="shared" si="26"/>
        <v>43979</v>
      </c>
      <c r="D880" s="34">
        <f t="shared" si="27"/>
        <v>43979</v>
      </c>
      <c r="E880" s="35" t="s">
        <v>1454</v>
      </c>
      <c r="F880" s="2">
        <v>0.88194444444444442</v>
      </c>
      <c r="G880" s="3" t="s">
        <v>35</v>
      </c>
      <c r="H880" s="3" t="s">
        <v>62</v>
      </c>
      <c r="I880" s="25" t="str">
        <f>VLOOKUP(H880,Tabla5[#All],4,FALSE)</f>
        <v>-31,3909520937826, -64,1836424491715</v>
      </c>
      <c r="J880" s="1">
        <v>32448</v>
      </c>
      <c r="K880" s="7">
        <f>INT((crimenes_cordoba_ampliado[[#This Row],[Fecha]]-crimenes_cordoba_ampliado[[#This Row],[Fecha Nac. Delincuente]])/365)</f>
        <v>31</v>
      </c>
      <c r="L880" s="7" t="str">
        <f>_xlfn.XLOOKUP(crimenes_cordoba_ampliado[[#This Row],[EDAD DELINCUENTE]],'Rango etareo'!$A$10:$A$25,'Rango etareo'!$B$10:$B$25,,-1)</f>
        <v>26 - 35</v>
      </c>
      <c r="M880" s="3" t="s">
        <v>22</v>
      </c>
      <c r="N880" s="3" t="str">
        <f>IF(crimenes_cordoba_ampliado[[#This Row],[Género Delincuente]]="Femenino","🚺","🚹")</f>
        <v>🚹</v>
      </c>
      <c r="O880">
        <v>2</v>
      </c>
      <c r="P880" s="1">
        <v>33255</v>
      </c>
      <c r="Q880" s="7">
        <f>INT((crimenes_cordoba_ampliado[[#This Row],[Fecha]]-crimenes_cordoba_ampliado[[#This Row],[Fecha Nac. Víctima]])/365)</f>
        <v>29</v>
      </c>
      <c r="R880" s="7" t="str">
        <f>_xlfn.XLOOKUP(crimenes_cordoba_ampliado[[#This Row],[EDAD VICTIMA]],'Rango etareo'!$A$2:$A$25,'Rango etareo'!$B$2:$B$25,,-1)</f>
        <v>26 - 35</v>
      </c>
      <c r="S880" s="3" t="s">
        <v>22</v>
      </c>
      <c r="T880" s="3" t="str">
        <f>IF(crimenes_cordoba_ampliado[[#This Row],[Género Víctima]]="Masculino","🚹","🚺")</f>
        <v>🚹</v>
      </c>
      <c r="U880">
        <v>1</v>
      </c>
      <c r="V880" s="3" t="s">
        <v>23</v>
      </c>
      <c r="W880" s="3" t="s">
        <v>24</v>
      </c>
      <c r="X880" s="3" t="s">
        <v>24</v>
      </c>
      <c r="Y880" s="3" t="s">
        <v>98</v>
      </c>
      <c r="Z880" s="3" t="s">
        <v>23</v>
      </c>
      <c r="AA880" s="3" t="s">
        <v>23</v>
      </c>
      <c r="AB880" s="3" t="str">
        <f>IF(crimenes_cordoba_ampliado[[#This Row],[Hubo Arresto]]="Sí", "Resuelto", "Pendiente")</f>
        <v>Resuelto</v>
      </c>
      <c r="AC880" s="3" t="s">
        <v>231</v>
      </c>
      <c r="AD880" s="3"/>
    </row>
    <row r="881" spans="1:30" x14ac:dyDescent="0.25">
      <c r="A881">
        <v>871</v>
      </c>
      <c r="B881" s="1">
        <v>43093</v>
      </c>
      <c r="C881" s="33">
        <f t="shared" si="26"/>
        <v>43093</v>
      </c>
      <c r="D881" s="34">
        <f t="shared" si="27"/>
        <v>43093</v>
      </c>
      <c r="E881" s="35" t="s">
        <v>1449</v>
      </c>
      <c r="F881" s="2">
        <v>0.96111111111111114</v>
      </c>
      <c r="G881" s="3" t="s">
        <v>35</v>
      </c>
      <c r="H881" s="3" t="s">
        <v>65</v>
      </c>
      <c r="I881" s="25" t="str">
        <f>VLOOKUP(H881,Tabla5[#All],4,FALSE)</f>
        <v>-31,4285567311661, -64,1853198281007</v>
      </c>
      <c r="J881" s="1">
        <v>26883</v>
      </c>
      <c r="K881" s="7">
        <f>INT((crimenes_cordoba_ampliado[[#This Row],[Fecha]]-crimenes_cordoba_ampliado[[#This Row],[Fecha Nac. Delincuente]])/365)</f>
        <v>44</v>
      </c>
      <c r="L881" s="7" t="str">
        <f>_xlfn.XLOOKUP(crimenes_cordoba_ampliado[[#This Row],[EDAD DELINCUENTE]],'Rango etareo'!$A$10:$A$25,'Rango etareo'!$B$10:$B$25,,-1)</f>
        <v>36 - 45</v>
      </c>
      <c r="M881" s="3" t="s">
        <v>21</v>
      </c>
      <c r="N881" s="3" t="str">
        <f>IF(crimenes_cordoba_ampliado[[#This Row],[Género Delincuente]]="Femenino","🚺","🚹")</f>
        <v>🚺</v>
      </c>
      <c r="O881">
        <v>5</v>
      </c>
      <c r="P881" s="1">
        <v>24005</v>
      </c>
      <c r="Q881" s="7">
        <f>INT((crimenes_cordoba_ampliado[[#This Row],[Fecha]]-crimenes_cordoba_ampliado[[#This Row],[Fecha Nac. Víctima]])/365)</f>
        <v>52</v>
      </c>
      <c r="R881" s="7" t="str">
        <f>_xlfn.XLOOKUP(crimenes_cordoba_ampliado[[#This Row],[EDAD VICTIMA]],'Rango etareo'!$A$2:$A$25,'Rango etareo'!$B$2:$B$25,,-1)</f>
        <v>46 - 55</v>
      </c>
      <c r="S881" s="3" t="s">
        <v>21</v>
      </c>
      <c r="T881" s="3" t="str">
        <f>IF(crimenes_cordoba_ampliado[[#This Row],[Género Víctima]]="Masculino","🚹","🚺")</f>
        <v>🚺</v>
      </c>
      <c r="U881">
        <v>2</v>
      </c>
      <c r="V881" s="3" t="s">
        <v>23</v>
      </c>
      <c r="W881" s="3" t="s">
        <v>24</v>
      </c>
      <c r="X881" s="3" t="s">
        <v>24</v>
      </c>
      <c r="Y881" s="3" t="s">
        <v>133</v>
      </c>
      <c r="Z881" s="3" t="s">
        <v>23</v>
      </c>
      <c r="AA881" s="3" t="s">
        <v>25</v>
      </c>
      <c r="AB881" s="3" t="str">
        <f>IF(crimenes_cordoba_ampliado[[#This Row],[Hubo Arresto]]="Sí", "Resuelto", "Pendiente")</f>
        <v>Resuelto</v>
      </c>
      <c r="AC881" s="3" t="s">
        <v>312</v>
      </c>
      <c r="AD881" s="3"/>
    </row>
    <row r="882" spans="1:30" x14ac:dyDescent="0.25">
      <c r="A882">
        <v>719</v>
      </c>
      <c r="B882" s="1">
        <v>45271</v>
      </c>
      <c r="C882" s="33">
        <f t="shared" si="26"/>
        <v>45271</v>
      </c>
      <c r="D882" s="34">
        <f t="shared" si="27"/>
        <v>45271</v>
      </c>
      <c r="E882" s="35" t="s">
        <v>1452</v>
      </c>
      <c r="F882" s="2">
        <v>0.88472222222222219</v>
      </c>
      <c r="G882" s="3" t="s">
        <v>19</v>
      </c>
      <c r="H882" s="3" t="s">
        <v>70</v>
      </c>
      <c r="I882" s="25" t="str">
        <f>VLOOKUP(H882,Tabla5[#All],4,FALSE)</f>
        <v>-31,3759272890294, -64,2284587792478</v>
      </c>
      <c r="J882" s="1">
        <v>31233</v>
      </c>
      <c r="K882" s="7">
        <f>INT((crimenes_cordoba_ampliado[[#This Row],[Fecha]]-crimenes_cordoba_ampliado[[#This Row],[Fecha Nac. Delincuente]])/365)</f>
        <v>38</v>
      </c>
      <c r="L882" s="7" t="str">
        <f>_xlfn.XLOOKUP(crimenes_cordoba_ampliado[[#This Row],[EDAD DELINCUENTE]],'Rango etareo'!$A$10:$A$25,'Rango etareo'!$B$10:$B$25,,-1)</f>
        <v>36 - 45</v>
      </c>
      <c r="M882" s="3" t="s">
        <v>21</v>
      </c>
      <c r="N882" s="3" t="str">
        <f>IF(crimenes_cordoba_ampliado[[#This Row],[Género Delincuente]]="Femenino","🚺","🚹")</f>
        <v>🚺</v>
      </c>
      <c r="O882">
        <v>5</v>
      </c>
      <c r="P882" s="1">
        <v>19405</v>
      </c>
      <c r="Q882" s="7">
        <f>INT((crimenes_cordoba_ampliado[[#This Row],[Fecha]]-crimenes_cordoba_ampliado[[#This Row],[Fecha Nac. Víctima]])/365)</f>
        <v>70</v>
      </c>
      <c r="R882" s="7" t="str">
        <f>_xlfn.XLOOKUP(crimenes_cordoba_ampliado[[#This Row],[EDAD VICTIMA]],'Rango etareo'!$A$2:$A$25,'Rango etareo'!$B$2:$B$25,,-1)</f>
        <v>&gt;65</v>
      </c>
      <c r="S882" s="3" t="s">
        <v>21</v>
      </c>
      <c r="T882" s="3" t="str">
        <f>IF(crimenes_cordoba_ampliado[[#This Row],[Género Víctima]]="Masculino","🚹","🚺")</f>
        <v>🚺</v>
      </c>
      <c r="U882">
        <v>1</v>
      </c>
      <c r="V882" s="3" t="s">
        <v>25</v>
      </c>
      <c r="W882" s="3" t="s">
        <v>24</v>
      </c>
      <c r="X882" s="3" t="s">
        <v>24</v>
      </c>
      <c r="Y882" s="3" t="s">
        <v>24</v>
      </c>
      <c r="Z882" s="3" t="s">
        <v>23</v>
      </c>
      <c r="AA882" s="3" t="s">
        <v>25</v>
      </c>
      <c r="AB882" s="3" t="str">
        <f>IF(crimenes_cordoba_ampliado[[#This Row],[Hubo Arresto]]="Sí", "Resuelto", "Pendiente")</f>
        <v>Pendiente</v>
      </c>
      <c r="AC882" s="3" t="s">
        <v>24</v>
      </c>
      <c r="AD882" s="3"/>
    </row>
    <row r="883" spans="1:30" x14ac:dyDescent="0.25">
      <c r="A883">
        <v>875</v>
      </c>
      <c r="B883" s="1">
        <v>43121</v>
      </c>
      <c r="C883" s="33">
        <f t="shared" si="26"/>
        <v>43121</v>
      </c>
      <c r="D883" s="34">
        <f t="shared" si="27"/>
        <v>43121</v>
      </c>
      <c r="E883" s="35" t="s">
        <v>1449</v>
      </c>
      <c r="F883" s="2">
        <v>0.97916666666666663</v>
      </c>
      <c r="G883" s="3" t="s">
        <v>51</v>
      </c>
      <c r="H883" s="3" t="s">
        <v>40</v>
      </c>
      <c r="I883" s="25" t="str">
        <f>VLOOKUP(H883,Tabla5[#All],4,FALSE)</f>
        <v>-31,334500143441, -64,2460773260564</v>
      </c>
      <c r="J883" s="1">
        <v>31338</v>
      </c>
      <c r="K883" s="7">
        <f>INT((crimenes_cordoba_ampliado[[#This Row],[Fecha]]-crimenes_cordoba_ampliado[[#This Row],[Fecha Nac. Delincuente]])/365)</f>
        <v>32</v>
      </c>
      <c r="L883" s="7" t="str">
        <f>_xlfn.XLOOKUP(crimenes_cordoba_ampliado[[#This Row],[EDAD DELINCUENTE]],'Rango etareo'!$A$10:$A$25,'Rango etareo'!$B$10:$B$25,,-1)</f>
        <v>26 - 35</v>
      </c>
      <c r="M883" s="3" t="s">
        <v>22</v>
      </c>
      <c r="N883" s="3" t="str">
        <f>IF(crimenes_cordoba_ampliado[[#This Row],[Género Delincuente]]="Femenino","🚺","🚹")</f>
        <v>🚹</v>
      </c>
      <c r="O883">
        <v>3</v>
      </c>
      <c r="P883" s="1">
        <v>20043</v>
      </c>
      <c r="Q883" s="7">
        <f>INT((crimenes_cordoba_ampliado[[#This Row],[Fecha]]-crimenes_cordoba_ampliado[[#This Row],[Fecha Nac. Víctima]])/365)</f>
        <v>63</v>
      </c>
      <c r="R883" s="7" t="str">
        <f>_xlfn.XLOOKUP(crimenes_cordoba_ampliado[[#This Row],[EDAD VICTIMA]],'Rango etareo'!$A$2:$A$25,'Rango etareo'!$B$2:$B$25,,-1)</f>
        <v>56 - 65</v>
      </c>
      <c r="S883" s="3" t="s">
        <v>21</v>
      </c>
      <c r="T883" s="3" t="str">
        <f>IF(crimenes_cordoba_ampliado[[#This Row],[Género Víctima]]="Masculino","🚹","🚺")</f>
        <v>🚺</v>
      </c>
      <c r="U883">
        <v>3</v>
      </c>
      <c r="V883" s="3" t="s">
        <v>23</v>
      </c>
      <c r="W883" s="3" t="s">
        <v>63</v>
      </c>
      <c r="X883" s="3" t="s">
        <v>29</v>
      </c>
      <c r="Y883" s="3" t="s">
        <v>24</v>
      </c>
      <c r="Z883" s="3" t="s">
        <v>23</v>
      </c>
      <c r="AA883" s="3" t="s">
        <v>25</v>
      </c>
      <c r="AB883" s="3" t="str">
        <f>IF(crimenes_cordoba_ampliado[[#This Row],[Hubo Arresto]]="Sí", "Resuelto", "Pendiente")</f>
        <v>Resuelto</v>
      </c>
      <c r="AC883" s="3" t="s">
        <v>302</v>
      </c>
      <c r="AD883" s="3"/>
    </row>
    <row r="884" spans="1:30" x14ac:dyDescent="0.25">
      <c r="A884">
        <v>949</v>
      </c>
      <c r="B884" s="1">
        <v>45276</v>
      </c>
      <c r="C884" s="33">
        <f t="shared" si="26"/>
        <v>45276</v>
      </c>
      <c r="D884" s="34">
        <f t="shared" si="27"/>
        <v>45276</v>
      </c>
      <c r="E884" s="35" t="s">
        <v>1451</v>
      </c>
      <c r="F884" s="2">
        <v>0.94305555555555554</v>
      </c>
      <c r="G884" s="3" t="s">
        <v>35</v>
      </c>
      <c r="H884" s="3" t="s">
        <v>20</v>
      </c>
      <c r="I884" s="25" t="str">
        <f>VLOOKUP(H884,Tabla5[#All],4,FALSE)</f>
        <v>-31,4800162965848, -64,2094200976892</v>
      </c>
      <c r="J884" s="1">
        <v>35663</v>
      </c>
      <c r="K884" s="7">
        <f>INT((crimenes_cordoba_ampliado[[#This Row],[Fecha]]-crimenes_cordoba_ampliado[[#This Row],[Fecha Nac. Delincuente]])/365)</f>
        <v>26</v>
      </c>
      <c r="L884" s="7" t="str">
        <f>_xlfn.XLOOKUP(crimenes_cordoba_ampliado[[#This Row],[EDAD DELINCUENTE]],'Rango etareo'!$A$10:$A$25,'Rango etareo'!$B$10:$B$25,,-1)</f>
        <v>26 - 35</v>
      </c>
      <c r="M884" s="3" t="s">
        <v>21</v>
      </c>
      <c r="N884" s="3" t="str">
        <f>IF(crimenes_cordoba_ampliado[[#This Row],[Género Delincuente]]="Femenino","🚺","🚹")</f>
        <v>🚺</v>
      </c>
      <c r="O884">
        <v>1</v>
      </c>
      <c r="P884" s="1">
        <v>34240</v>
      </c>
      <c r="Q884" s="7">
        <f>INT((crimenes_cordoba_ampliado[[#This Row],[Fecha]]-crimenes_cordoba_ampliado[[#This Row],[Fecha Nac. Víctima]])/365)</f>
        <v>30</v>
      </c>
      <c r="R884" s="7" t="str">
        <f>_xlfn.XLOOKUP(crimenes_cordoba_ampliado[[#This Row],[EDAD VICTIMA]],'Rango etareo'!$A$2:$A$25,'Rango etareo'!$B$2:$B$25,,-1)</f>
        <v>26 - 35</v>
      </c>
      <c r="S884" s="3" t="s">
        <v>21</v>
      </c>
      <c r="T884" s="3" t="str">
        <f>IF(crimenes_cordoba_ampliado[[#This Row],[Género Víctima]]="Masculino","🚹","🚺")</f>
        <v>🚺</v>
      </c>
      <c r="U884">
        <v>1</v>
      </c>
      <c r="V884" s="3" t="s">
        <v>25</v>
      </c>
      <c r="W884" s="3" t="s">
        <v>24</v>
      </c>
      <c r="X884" s="3" t="s">
        <v>24</v>
      </c>
      <c r="Y884" s="3" t="s">
        <v>133</v>
      </c>
      <c r="Z884" s="3" t="s">
        <v>25</v>
      </c>
      <c r="AA884" s="3" t="s">
        <v>25</v>
      </c>
      <c r="AB884" s="3" t="str">
        <f>IF(crimenes_cordoba_ampliado[[#This Row],[Hubo Arresto]]="Sí", "Resuelto", "Pendiente")</f>
        <v>Pendiente</v>
      </c>
      <c r="AC884" s="3" t="s">
        <v>24</v>
      </c>
      <c r="AD884" s="3"/>
    </row>
    <row r="885" spans="1:30" x14ac:dyDescent="0.25">
      <c r="A885">
        <v>692</v>
      </c>
      <c r="B885" s="1">
        <v>45280</v>
      </c>
      <c r="C885" s="33">
        <f t="shared" si="26"/>
        <v>45280</v>
      </c>
      <c r="D885" s="34">
        <f t="shared" si="27"/>
        <v>45280</v>
      </c>
      <c r="E885" s="35" t="s">
        <v>1450</v>
      </c>
      <c r="F885" s="2">
        <v>0.85416666666666663</v>
      </c>
      <c r="G885" s="3" t="s">
        <v>38</v>
      </c>
      <c r="H885" s="3" t="s">
        <v>20</v>
      </c>
      <c r="I885" s="25" t="str">
        <f>VLOOKUP(H885,Tabla5[#All],4,FALSE)</f>
        <v>-31,4800162965848, -64,2094200976892</v>
      </c>
      <c r="J885" s="1">
        <v>35669</v>
      </c>
      <c r="K885" s="7">
        <f>INT((crimenes_cordoba_ampliado[[#This Row],[Fecha]]-crimenes_cordoba_ampliado[[#This Row],[Fecha Nac. Delincuente]])/365)</f>
        <v>26</v>
      </c>
      <c r="L885" s="7" t="str">
        <f>_xlfn.XLOOKUP(crimenes_cordoba_ampliado[[#This Row],[EDAD DELINCUENTE]],'Rango etareo'!$A$10:$A$25,'Rango etareo'!$B$10:$B$25,,-1)</f>
        <v>26 - 35</v>
      </c>
      <c r="M885" s="3" t="s">
        <v>22</v>
      </c>
      <c r="N885" s="3" t="str">
        <f>IF(crimenes_cordoba_ampliado[[#This Row],[Género Delincuente]]="Femenino","🚺","🚹")</f>
        <v>🚹</v>
      </c>
      <c r="O885">
        <v>5</v>
      </c>
      <c r="P885" s="1">
        <v>19432</v>
      </c>
      <c r="Q885" s="7">
        <f>INT((crimenes_cordoba_ampliado[[#This Row],[Fecha]]-crimenes_cordoba_ampliado[[#This Row],[Fecha Nac. Víctima]])/365)</f>
        <v>70</v>
      </c>
      <c r="R885" s="7" t="str">
        <f>_xlfn.XLOOKUP(crimenes_cordoba_ampliado[[#This Row],[EDAD VICTIMA]],'Rango etareo'!$A$2:$A$25,'Rango etareo'!$B$2:$B$25,,-1)</f>
        <v>&gt;65</v>
      </c>
      <c r="S885" s="3" t="s">
        <v>22</v>
      </c>
      <c r="T885" s="3" t="str">
        <f>IF(crimenes_cordoba_ampliado[[#This Row],[Género Víctima]]="Masculino","🚹","🚺")</f>
        <v>🚹</v>
      </c>
      <c r="U885">
        <v>1</v>
      </c>
      <c r="V885" s="3" t="s">
        <v>25</v>
      </c>
      <c r="W885" s="3" t="s">
        <v>24</v>
      </c>
      <c r="X885" s="3" t="s">
        <v>24</v>
      </c>
      <c r="Y885" s="3" t="s">
        <v>98</v>
      </c>
      <c r="Z885" s="3" t="s">
        <v>25</v>
      </c>
      <c r="AA885" s="3" t="s">
        <v>23</v>
      </c>
      <c r="AB885" s="3" t="str">
        <f>IF(crimenes_cordoba_ampliado[[#This Row],[Hubo Arresto]]="Sí", "Resuelto", "Pendiente")</f>
        <v>Pendiente</v>
      </c>
      <c r="AC885" s="3" t="s">
        <v>24</v>
      </c>
      <c r="AD885" s="3"/>
    </row>
    <row r="886" spans="1:30" x14ac:dyDescent="0.25">
      <c r="A886">
        <v>876</v>
      </c>
      <c r="B886" s="1">
        <v>45233</v>
      </c>
      <c r="C886" s="33">
        <f t="shared" si="26"/>
        <v>45233</v>
      </c>
      <c r="D886" s="34">
        <f t="shared" si="27"/>
        <v>45233</v>
      </c>
      <c r="E886" s="35" t="s">
        <v>1455</v>
      </c>
      <c r="F886" s="2">
        <v>0.34375</v>
      </c>
      <c r="G886" s="3" t="s">
        <v>27</v>
      </c>
      <c r="H886" s="3" t="s">
        <v>49</v>
      </c>
      <c r="I886" s="25" t="str">
        <f>VLOOKUP(H886,Tabla5[#All],4,FALSE)</f>
        <v>-31,4506257494184, -64,1733054344705</v>
      </c>
      <c r="J886" s="1">
        <v>38872</v>
      </c>
      <c r="K886" s="7">
        <f>INT((crimenes_cordoba_ampliado[[#This Row],[Fecha]]-crimenes_cordoba_ampliado[[#This Row],[Fecha Nac. Delincuente]])/365)</f>
        <v>17</v>
      </c>
      <c r="L886" s="7" t="str">
        <f>_xlfn.XLOOKUP(crimenes_cordoba_ampliado[[#This Row],[EDAD DELINCUENTE]],'Rango etareo'!$A$10:$A$25,'Rango etareo'!$B$10:$B$25,,-1)</f>
        <v>&lt;=17</v>
      </c>
      <c r="M886" s="3" t="s">
        <v>22</v>
      </c>
      <c r="N886" s="3" t="str">
        <f>IF(crimenes_cordoba_ampliado[[#This Row],[Género Delincuente]]="Femenino","🚺","🚹")</f>
        <v>🚹</v>
      </c>
      <c r="O886">
        <v>5</v>
      </c>
      <c r="P886" s="1">
        <v>29558</v>
      </c>
      <c r="Q886" s="7">
        <f>INT((crimenes_cordoba_ampliado[[#This Row],[Fecha]]-crimenes_cordoba_ampliado[[#This Row],[Fecha Nac. Víctima]])/365)</f>
        <v>42</v>
      </c>
      <c r="R886" s="7" t="str">
        <f>_xlfn.XLOOKUP(crimenes_cordoba_ampliado[[#This Row],[EDAD VICTIMA]],'Rango etareo'!$A$2:$A$25,'Rango etareo'!$B$2:$B$25,,-1)</f>
        <v>36 - 45</v>
      </c>
      <c r="S886" s="3" t="s">
        <v>22</v>
      </c>
      <c r="T886" s="3" t="str">
        <f>IF(crimenes_cordoba_ampliado[[#This Row],[Género Víctima]]="Masculino","🚹","🚺")</f>
        <v>🚹</v>
      </c>
      <c r="U886">
        <v>3</v>
      </c>
      <c r="V886" s="3" t="s">
        <v>23</v>
      </c>
      <c r="W886" s="3" t="s">
        <v>24</v>
      </c>
      <c r="X886" s="3" t="s">
        <v>24</v>
      </c>
      <c r="Y886" s="3" t="s">
        <v>53</v>
      </c>
      <c r="Z886" s="3" t="s">
        <v>23</v>
      </c>
      <c r="AA886" s="3" t="s">
        <v>23</v>
      </c>
      <c r="AB886" s="3" t="str">
        <f>IF(crimenes_cordoba_ampliado[[#This Row],[Hubo Arresto]]="Sí", "Resuelto", "Pendiente")</f>
        <v>Resuelto</v>
      </c>
      <c r="AC886" s="3" t="s">
        <v>239</v>
      </c>
      <c r="AD886" s="3"/>
    </row>
    <row r="887" spans="1:30" x14ac:dyDescent="0.25">
      <c r="A887">
        <v>633</v>
      </c>
      <c r="B887" s="1">
        <v>45285</v>
      </c>
      <c r="C887" s="33">
        <f t="shared" si="26"/>
        <v>45285</v>
      </c>
      <c r="D887" s="34">
        <f t="shared" si="27"/>
        <v>45285</v>
      </c>
      <c r="E887" s="35" t="s">
        <v>1452</v>
      </c>
      <c r="F887" s="2">
        <v>0.93958333333333333</v>
      </c>
      <c r="G887" s="3" t="s">
        <v>19</v>
      </c>
      <c r="H887" s="3" t="s">
        <v>28</v>
      </c>
      <c r="I887" s="25" t="str">
        <f>VLOOKUP(H887,Tabla5[#All],4,FALSE)</f>
        <v>-31,4129883640337, -64,1681120522587</v>
      </c>
      <c r="J887" s="1">
        <v>20313</v>
      </c>
      <c r="K887" s="7">
        <f>INT((crimenes_cordoba_ampliado[[#This Row],[Fecha]]-crimenes_cordoba_ampliado[[#This Row],[Fecha Nac. Delincuente]])/365)</f>
        <v>68</v>
      </c>
      <c r="L887" s="7" t="str">
        <f>_xlfn.XLOOKUP(crimenes_cordoba_ampliado[[#This Row],[EDAD DELINCUENTE]],'Rango etareo'!$A$10:$A$25,'Rango etareo'!$B$10:$B$25,,-1)</f>
        <v>&gt;65</v>
      </c>
      <c r="M887" s="3" t="s">
        <v>22</v>
      </c>
      <c r="N887" s="3" t="str">
        <f>IF(crimenes_cordoba_ampliado[[#This Row],[Género Delincuente]]="Femenino","🚺","🚹")</f>
        <v>🚹</v>
      </c>
      <c r="O887">
        <v>3</v>
      </c>
      <c r="P887" s="1">
        <v>38970</v>
      </c>
      <c r="Q887" s="7">
        <f>INT((crimenes_cordoba_ampliado[[#This Row],[Fecha]]-crimenes_cordoba_ampliado[[#This Row],[Fecha Nac. Víctima]])/365)</f>
        <v>17</v>
      </c>
      <c r="R887" s="7" t="str">
        <f>_xlfn.XLOOKUP(crimenes_cordoba_ampliado[[#This Row],[EDAD VICTIMA]],'Rango etareo'!$A$2:$A$25,'Rango etareo'!$B$2:$B$25,,-1)</f>
        <v>&lt;=17</v>
      </c>
      <c r="S887" s="3" t="s">
        <v>22</v>
      </c>
      <c r="T887" s="3" t="str">
        <f>IF(crimenes_cordoba_ampliado[[#This Row],[Género Víctima]]="Masculino","🚹","🚺")</f>
        <v>🚹</v>
      </c>
      <c r="U887">
        <v>1</v>
      </c>
      <c r="V887" s="3" t="s">
        <v>25</v>
      </c>
      <c r="W887" s="3" t="s">
        <v>24</v>
      </c>
      <c r="X887" s="3" t="s">
        <v>24</v>
      </c>
      <c r="Y887" s="3" t="s">
        <v>24</v>
      </c>
      <c r="Z887" s="3" t="s">
        <v>25</v>
      </c>
      <c r="AA887" s="3" t="s">
        <v>25</v>
      </c>
      <c r="AB887" s="3" t="str">
        <f>IF(crimenes_cordoba_ampliado[[#This Row],[Hubo Arresto]]="Sí", "Resuelto", "Pendiente")</f>
        <v>Pendiente</v>
      </c>
      <c r="AC887" s="3" t="s">
        <v>24</v>
      </c>
      <c r="AD887" s="3"/>
    </row>
    <row r="888" spans="1:30" x14ac:dyDescent="0.25">
      <c r="A888">
        <v>881</v>
      </c>
      <c r="B888" s="1">
        <v>44056</v>
      </c>
      <c r="C888" s="33">
        <f t="shared" si="26"/>
        <v>44056</v>
      </c>
      <c r="D888" s="34">
        <f t="shared" si="27"/>
        <v>44056</v>
      </c>
      <c r="E888" s="35" t="s">
        <v>1454</v>
      </c>
      <c r="F888" s="2">
        <v>0.96666666666666667</v>
      </c>
      <c r="G888" s="3" t="s">
        <v>19</v>
      </c>
      <c r="H888" s="3" t="s">
        <v>40</v>
      </c>
      <c r="I888" s="25" t="str">
        <f>VLOOKUP(H888,Tabla5[#All],4,FALSE)</f>
        <v>-31,334500143441, -64,2460773260564</v>
      </c>
      <c r="J888" s="1">
        <v>20551</v>
      </c>
      <c r="K888" s="7">
        <f>INT((crimenes_cordoba_ampliado[[#This Row],[Fecha]]-crimenes_cordoba_ampliado[[#This Row],[Fecha Nac. Delincuente]])/365)</f>
        <v>64</v>
      </c>
      <c r="L888" s="7" t="str">
        <f>_xlfn.XLOOKUP(crimenes_cordoba_ampliado[[#This Row],[EDAD DELINCUENTE]],'Rango etareo'!$A$10:$A$25,'Rango etareo'!$B$10:$B$25,,-1)</f>
        <v>56 - 65</v>
      </c>
      <c r="M888" s="3" t="s">
        <v>22</v>
      </c>
      <c r="N888" s="3" t="str">
        <f>IF(crimenes_cordoba_ampliado[[#This Row],[Género Delincuente]]="Femenino","🚺","🚹")</f>
        <v>🚹</v>
      </c>
      <c r="O888">
        <v>5</v>
      </c>
      <c r="P888" s="1">
        <v>18879</v>
      </c>
      <c r="Q888" s="7">
        <f>INT((crimenes_cordoba_ampliado[[#This Row],[Fecha]]-crimenes_cordoba_ampliado[[#This Row],[Fecha Nac. Víctima]])/365)</f>
        <v>68</v>
      </c>
      <c r="R888" s="7" t="str">
        <f>_xlfn.XLOOKUP(crimenes_cordoba_ampliado[[#This Row],[EDAD VICTIMA]],'Rango etareo'!$A$2:$A$25,'Rango etareo'!$B$2:$B$25,,-1)</f>
        <v>&gt;65</v>
      </c>
      <c r="S888" s="3" t="s">
        <v>21</v>
      </c>
      <c r="T888" s="3" t="str">
        <f>IF(crimenes_cordoba_ampliado[[#This Row],[Género Víctima]]="Masculino","🚹","🚺")</f>
        <v>🚺</v>
      </c>
      <c r="U888">
        <v>1</v>
      </c>
      <c r="V888" s="3" t="s">
        <v>23</v>
      </c>
      <c r="W888" s="3" t="s">
        <v>36</v>
      </c>
      <c r="X888" s="3" t="s">
        <v>24</v>
      </c>
      <c r="Y888" s="3" t="s">
        <v>77</v>
      </c>
      <c r="Z888" s="3" t="s">
        <v>25</v>
      </c>
      <c r="AA888" s="3" t="s">
        <v>23</v>
      </c>
      <c r="AB888" s="3" t="str">
        <f>IF(crimenes_cordoba_ampliado[[#This Row],[Hubo Arresto]]="Sí", "Resuelto", "Pendiente")</f>
        <v>Resuelto</v>
      </c>
      <c r="AC888" s="3" t="s">
        <v>249</v>
      </c>
      <c r="AD888" s="3"/>
    </row>
    <row r="889" spans="1:30" x14ac:dyDescent="0.25">
      <c r="A889">
        <v>885</v>
      </c>
      <c r="B889" s="1">
        <v>43436</v>
      </c>
      <c r="C889" s="33">
        <f t="shared" si="26"/>
        <v>43436</v>
      </c>
      <c r="D889" s="34">
        <f t="shared" si="27"/>
        <v>43436</v>
      </c>
      <c r="E889" s="35" t="s">
        <v>1449</v>
      </c>
      <c r="F889" s="2">
        <v>0.51388888888888884</v>
      </c>
      <c r="G889" s="3" t="s">
        <v>48</v>
      </c>
      <c r="H889" s="3" t="s">
        <v>55</v>
      </c>
      <c r="I889" s="25" t="str">
        <f>VLOOKUP(H889,Tabla5[#All],4,FALSE)</f>
        <v>-31,4015892433235, -64,160442876477</v>
      </c>
      <c r="J889" s="1">
        <v>29051</v>
      </c>
      <c r="K889" s="7">
        <f>INT((crimenes_cordoba_ampliado[[#This Row],[Fecha]]-crimenes_cordoba_ampliado[[#This Row],[Fecha Nac. Delincuente]])/365)</f>
        <v>39</v>
      </c>
      <c r="L889" s="7" t="str">
        <f>_xlfn.XLOOKUP(crimenes_cordoba_ampliado[[#This Row],[EDAD DELINCUENTE]],'Rango etareo'!$A$10:$A$25,'Rango etareo'!$B$10:$B$25,,-1)</f>
        <v>36 - 45</v>
      </c>
      <c r="M889" s="3" t="s">
        <v>22</v>
      </c>
      <c r="N889" s="3" t="str">
        <f>IF(crimenes_cordoba_ampliado[[#This Row],[Género Delincuente]]="Femenino","🚺","🚹")</f>
        <v>🚹</v>
      </c>
      <c r="O889">
        <v>4</v>
      </c>
      <c r="P889" s="1">
        <v>27805</v>
      </c>
      <c r="Q889" s="7">
        <f>INT((crimenes_cordoba_ampliado[[#This Row],[Fecha]]-crimenes_cordoba_ampliado[[#This Row],[Fecha Nac. Víctima]])/365)</f>
        <v>42</v>
      </c>
      <c r="R889" s="7" t="str">
        <f>_xlfn.XLOOKUP(crimenes_cordoba_ampliado[[#This Row],[EDAD VICTIMA]],'Rango etareo'!$A$2:$A$25,'Rango etareo'!$B$2:$B$25,,-1)</f>
        <v>36 - 45</v>
      </c>
      <c r="S889" s="3" t="s">
        <v>21</v>
      </c>
      <c r="T889" s="3" t="str">
        <f>IF(crimenes_cordoba_ampliado[[#This Row],[Género Víctima]]="Masculino","🚹","🚺")</f>
        <v>🚺</v>
      </c>
      <c r="U889">
        <v>3</v>
      </c>
      <c r="V889" s="3" t="s">
        <v>23</v>
      </c>
      <c r="W889" s="3" t="s">
        <v>24</v>
      </c>
      <c r="X889" s="3" t="s">
        <v>24</v>
      </c>
      <c r="Y889" s="3" t="s">
        <v>72</v>
      </c>
      <c r="Z889" s="3" t="s">
        <v>25</v>
      </c>
      <c r="AA889" s="3" t="s">
        <v>23</v>
      </c>
      <c r="AB889" s="3" t="str">
        <f>IF(crimenes_cordoba_ampliado[[#This Row],[Hubo Arresto]]="Sí", "Resuelto", "Pendiente")</f>
        <v>Resuelto</v>
      </c>
      <c r="AC889" s="3" t="s">
        <v>313</v>
      </c>
      <c r="AD889" s="3"/>
    </row>
    <row r="890" spans="1:30" x14ac:dyDescent="0.25">
      <c r="A890">
        <v>708</v>
      </c>
      <c r="B890" s="1">
        <v>45289</v>
      </c>
      <c r="C890" s="33">
        <f t="shared" si="26"/>
        <v>45289</v>
      </c>
      <c r="D890" s="34">
        <f t="shared" si="27"/>
        <v>45289</v>
      </c>
      <c r="E890" s="35" t="s">
        <v>1455</v>
      </c>
      <c r="F890" s="2">
        <v>0.76249999999999996</v>
      </c>
      <c r="G890" s="3" t="s">
        <v>54</v>
      </c>
      <c r="H890" s="3" t="s">
        <v>40</v>
      </c>
      <c r="I890" s="25" t="str">
        <f>VLOOKUP(H890,Tabla5[#All],4,FALSE)</f>
        <v>-31,334500143441, -64,2460773260564</v>
      </c>
      <c r="J890" s="1">
        <v>22933</v>
      </c>
      <c r="K890" s="7">
        <f>INT((crimenes_cordoba_ampliado[[#This Row],[Fecha]]-crimenes_cordoba_ampliado[[#This Row],[Fecha Nac. Delincuente]])/365)</f>
        <v>61</v>
      </c>
      <c r="L890" s="7" t="str">
        <f>_xlfn.XLOOKUP(crimenes_cordoba_ampliado[[#This Row],[EDAD DELINCUENTE]],'Rango etareo'!$A$10:$A$25,'Rango etareo'!$B$10:$B$25,,-1)</f>
        <v>56 - 65</v>
      </c>
      <c r="M890" s="3" t="s">
        <v>21</v>
      </c>
      <c r="N890" s="3" t="str">
        <f>IF(crimenes_cordoba_ampliado[[#This Row],[Género Delincuente]]="Femenino","🚺","🚹")</f>
        <v>🚺</v>
      </c>
      <c r="O890">
        <v>4</v>
      </c>
      <c r="P890" s="1">
        <v>26224</v>
      </c>
      <c r="Q890" s="7">
        <f>INT((crimenes_cordoba_ampliado[[#This Row],[Fecha]]-crimenes_cordoba_ampliado[[#This Row],[Fecha Nac. Víctima]])/365)</f>
        <v>52</v>
      </c>
      <c r="R890" s="7" t="str">
        <f>_xlfn.XLOOKUP(crimenes_cordoba_ampliado[[#This Row],[EDAD VICTIMA]],'Rango etareo'!$A$2:$A$25,'Rango etareo'!$B$2:$B$25,,-1)</f>
        <v>46 - 55</v>
      </c>
      <c r="S890" s="3" t="s">
        <v>21</v>
      </c>
      <c r="T890" s="3" t="str">
        <f>IF(crimenes_cordoba_ampliado[[#This Row],[Género Víctima]]="Masculino","🚹","🚺")</f>
        <v>🚺</v>
      </c>
      <c r="U890">
        <v>2</v>
      </c>
      <c r="V890" s="3" t="s">
        <v>25</v>
      </c>
      <c r="W890" s="3" t="s">
        <v>24</v>
      </c>
      <c r="X890" s="3" t="s">
        <v>24</v>
      </c>
      <c r="Y890" s="3" t="s">
        <v>33</v>
      </c>
      <c r="Z890" s="3" t="s">
        <v>23</v>
      </c>
      <c r="AA890" s="3" t="s">
        <v>25</v>
      </c>
      <c r="AB890" s="3" t="str">
        <f>IF(crimenes_cordoba_ampliado[[#This Row],[Hubo Arresto]]="Sí", "Resuelto", "Pendiente")</f>
        <v>Pendiente</v>
      </c>
      <c r="AC890" s="3" t="s">
        <v>24</v>
      </c>
      <c r="AD890" s="3"/>
    </row>
    <row r="891" spans="1:30" x14ac:dyDescent="0.25">
      <c r="A891">
        <v>500</v>
      </c>
      <c r="B891" s="1">
        <v>45292</v>
      </c>
      <c r="C891" s="33">
        <f t="shared" si="26"/>
        <v>45292</v>
      </c>
      <c r="D891" s="34">
        <f t="shared" si="27"/>
        <v>45292</v>
      </c>
      <c r="E891" s="35" t="s">
        <v>1452</v>
      </c>
      <c r="F891" s="2">
        <v>0.52569444444444446</v>
      </c>
      <c r="G891" s="3" t="s">
        <v>45</v>
      </c>
      <c r="H891" s="3" t="s">
        <v>58</v>
      </c>
      <c r="I891" s="25" t="str">
        <f>VLOOKUP(H891,Tabla5[#All],4,FALSE)</f>
        <v>-31,423018915313, -64,1493562190664</v>
      </c>
      <c r="J891" s="1">
        <v>20309</v>
      </c>
      <c r="K891" s="7">
        <f>INT((crimenes_cordoba_ampliado[[#This Row],[Fecha]]-crimenes_cordoba_ampliado[[#This Row],[Fecha Nac. Delincuente]])/365)</f>
        <v>68</v>
      </c>
      <c r="L891" s="7" t="str">
        <f>_xlfn.XLOOKUP(crimenes_cordoba_ampliado[[#This Row],[EDAD DELINCUENTE]],'Rango etareo'!$A$10:$A$25,'Rango etareo'!$B$10:$B$25,,-1)</f>
        <v>&gt;65</v>
      </c>
      <c r="M891" s="3" t="s">
        <v>21</v>
      </c>
      <c r="N891" s="3" t="str">
        <f>IF(crimenes_cordoba_ampliado[[#This Row],[Género Delincuente]]="Femenino","🚺","🚹")</f>
        <v>🚺</v>
      </c>
      <c r="O891">
        <v>1</v>
      </c>
      <c r="P891" s="1">
        <v>19350</v>
      </c>
      <c r="Q891" s="7">
        <f>INT((crimenes_cordoba_ampliado[[#This Row],[Fecha]]-crimenes_cordoba_ampliado[[#This Row],[Fecha Nac. Víctima]])/365)</f>
        <v>71</v>
      </c>
      <c r="R891" s="7" t="str">
        <f>_xlfn.XLOOKUP(crimenes_cordoba_ampliado[[#This Row],[EDAD VICTIMA]],'Rango etareo'!$A$2:$A$25,'Rango etareo'!$B$2:$B$25,,-1)</f>
        <v>&gt;65</v>
      </c>
      <c r="S891" s="3" t="s">
        <v>21</v>
      </c>
      <c r="T891" s="3" t="str">
        <f>IF(crimenes_cordoba_ampliado[[#This Row],[Género Víctima]]="Masculino","🚹","🚺")</f>
        <v>🚺</v>
      </c>
      <c r="U891">
        <v>1</v>
      </c>
      <c r="V891" s="3" t="s">
        <v>25</v>
      </c>
      <c r="W891" s="3" t="s">
        <v>24</v>
      </c>
      <c r="X891" s="3" t="s">
        <v>24</v>
      </c>
      <c r="Y891" s="3" t="s">
        <v>43</v>
      </c>
      <c r="Z891" s="3" t="s">
        <v>23</v>
      </c>
      <c r="AA891" s="3" t="s">
        <v>23</v>
      </c>
      <c r="AB891" s="3" t="str">
        <f>IF(crimenes_cordoba_ampliado[[#This Row],[Hubo Arresto]]="Sí", "Resuelto", "Pendiente")</f>
        <v>Pendiente</v>
      </c>
      <c r="AC891" s="3" t="s">
        <v>24</v>
      </c>
      <c r="AD891" s="3"/>
    </row>
    <row r="892" spans="1:30" x14ac:dyDescent="0.25">
      <c r="A892">
        <v>887</v>
      </c>
      <c r="B892" s="1">
        <v>42251</v>
      </c>
      <c r="C892" s="33">
        <f t="shared" si="26"/>
        <v>42251</v>
      </c>
      <c r="D892" s="34">
        <f t="shared" si="27"/>
        <v>42251</v>
      </c>
      <c r="E892" s="35" t="s">
        <v>1455</v>
      </c>
      <c r="F892" s="2">
        <v>0.46388888888888891</v>
      </c>
      <c r="G892" s="3" t="s">
        <v>51</v>
      </c>
      <c r="H892" s="3" t="s">
        <v>28</v>
      </c>
      <c r="I892" s="25" t="str">
        <f>VLOOKUP(H892,Tabla5[#All],4,FALSE)</f>
        <v>-31,4129883640337, -64,1681120522587</v>
      </c>
      <c r="J892" s="1">
        <v>37054</v>
      </c>
      <c r="K892" s="7">
        <f>INT((crimenes_cordoba_ampliado[[#This Row],[Fecha]]-crimenes_cordoba_ampliado[[#This Row],[Fecha Nac. Delincuente]])/365)</f>
        <v>14</v>
      </c>
      <c r="L892" s="7" t="str">
        <f>_xlfn.XLOOKUP(crimenes_cordoba_ampliado[[#This Row],[EDAD DELINCUENTE]],'Rango etareo'!$A$10:$A$25,'Rango etareo'!$B$10:$B$25,,-1)</f>
        <v>&lt;=17</v>
      </c>
      <c r="M892" s="3" t="s">
        <v>22</v>
      </c>
      <c r="N892" s="3" t="str">
        <f>IF(crimenes_cordoba_ampliado[[#This Row],[Género Delincuente]]="Femenino","🚺","🚹")</f>
        <v>🚹</v>
      </c>
      <c r="O892">
        <v>5</v>
      </c>
      <c r="P892" s="1">
        <v>35042</v>
      </c>
      <c r="Q892" s="7">
        <f>INT((crimenes_cordoba_ampliado[[#This Row],[Fecha]]-crimenes_cordoba_ampliado[[#This Row],[Fecha Nac. Víctima]])/365)</f>
        <v>19</v>
      </c>
      <c r="R892" s="7" t="str">
        <f>_xlfn.XLOOKUP(crimenes_cordoba_ampliado[[#This Row],[EDAD VICTIMA]],'Rango etareo'!$A$2:$A$25,'Rango etareo'!$B$2:$B$25,,-1)</f>
        <v>18 - 25</v>
      </c>
      <c r="S892" s="3" t="s">
        <v>22</v>
      </c>
      <c r="T892" s="3" t="str">
        <f>IF(crimenes_cordoba_ampliado[[#This Row],[Género Víctima]]="Masculino","🚹","🚺")</f>
        <v>🚹</v>
      </c>
      <c r="U892">
        <v>2</v>
      </c>
      <c r="V892" s="3" t="s">
        <v>23</v>
      </c>
      <c r="W892" s="3" t="s">
        <v>24</v>
      </c>
      <c r="X892" s="3" t="s">
        <v>24</v>
      </c>
      <c r="Y892" s="3" t="s">
        <v>46</v>
      </c>
      <c r="Z892" s="3" t="s">
        <v>25</v>
      </c>
      <c r="AA892" s="3" t="s">
        <v>25</v>
      </c>
      <c r="AB892" s="3" t="str">
        <f>IF(crimenes_cordoba_ampliado[[#This Row],[Hubo Arresto]]="Sí", "Resuelto", "Pendiente")</f>
        <v>Resuelto</v>
      </c>
      <c r="AC892" s="3" t="s">
        <v>179</v>
      </c>
      <c r="AD892" s="3"/>
    </row>
    <row r="893" spans="1:30" x14ac:dyDescent="0.25">
      <c r="A893">
        <v>888</v>
      </c>
      <c r="B893" s="1">
        <v>43402</v>
      </c>
      <c r="C893" s="33">
        <f t="shared" si="26"/>
        <v>43402</v>
      </c>
      <c r="D893" s="34">
        <f t="shared" si="27"/>
        <v>43402</v>
      </c>
      <c r="E893" s="35" t="s">
        <v>1452</v>
      </c>
      <c r="F893" s="2">
        <v>0.59861111111111109</v>
      </c>
      <c r="G893" s="3" t="s">
        <v>38</v>
      </c>
      <c r="H893" s="3" t="s">
        <v>60</v>
      </c>
      <c r="I893" s="25" t="str">
        <f>VLOOKUP(H893,Tabla5[#All],4,FALSE)</f>
        <v>-31,4076397196409, -64,2020170430678</v>
      </c>
      <c r="J893" s="1">
        <v>34156</v>
      </c>
      <c r="K893" s="7">
        <f>INT((crimenes_cordoba_ampliado[[#This Row],[Fecha]]-crimenes_cordoba_ampliado[[#This Row],[Fecha Nac. Delincuente]])/365)</f>
        <v>25</v>
      </c>
      <c r="L893" s="7" t="str">
        <f>_xlfn.XLOOKUP(crimenes_cordoba_ampliado[[#This Row],[EDAD DELINCUENTE]],'Rango etareo'!$A$10:$A$25,'Rango etareo'!$B$10:$B$25,,-1)</f>
        <v>18 - 25</v>
      </c>
      <c r="M893" s="3" t="s">
        <v>21</v>
      </c>
      <c r="N893" s="3" t="str">
        <f>IF(crimenes_cordoba_ampliado[[#This Row],[Género Delincuente]]="Femenino","🚺","🚹")</f>
        <v>🚺</v>
      </c>
      <c r="O893">
        <v>1</v>
      </c>
      <c r="P893" s="1">
        <v>17425</v>
      </c>
      <c r="Q893" s="7">
        <f>INT((crimenes_cordoba_ampliado[[#This Row],[Fecha]]-crimenes_cordoba_ampliado[[#This Row],[Fecha Nac. Víctima]])/365)</f>
        <v>71</v>
      </c>
      <c r="R893" s="7" t="str">
        <f>_xlfn.XLOOKUP(crimenes_cordoba_ampliado[[#This Row],[EDAD VICTIMA]],'Rango etareo'!$A$2:$A$25,'Rango etareo'!$B$2:$B$25,,-1)</f>
        <v>&gt;65</v>
      </c>
      <c r="S893" s="3" t="s">
        <v>22</v>
      </c>
      <c r="T893" s="3" t="str">
        <f>IF(crimenes_cordoba_ampliado[[#This Row],[Género Víctima]]="Masculino","🚹","🚺")</f>
        <v>🚹</v>
      </c>
      <c r="U893">
        <v>2</v>
      </c>
      <c r="V893" s="3" t="s">
        <v>23</v>
      </c>
      <c r="W893" s="3" t="s">
        <v>24</v>
      </c>
      <c r="X893" s="3" t="s">
        <v>24</v>
      </c>
      <c r="Y893" s="3" t="s">
        <v>43</v>
      </c>
      <c r="Z893" s="3" t="s">
        <v>25</v>
      </c>
      <c r="AA893" s="3" t="s">
        <v>23</v>
      </c>
      <c r="AB893" s="3" t="str">
        <f>IF(crimenes_cordoba_ampliado[[#This Row],[Hubo Arresto]]="Sí", "Resuelto", "Pendiente")</f>
        <v>Resuelto</v>
      </c>
      <c r="AC893" s="3" t="s">
        <v>314</v>
      </c>
      <c r="AD893" s="3"/>
    </row>
    <row r="894" spans="1:30" x14ac:dyDescent="0.25">
      <c r="A894">
        <v>582</v>
      </c>
      <c r="B894" s="1">
        <v>45298</v>
      </c>
      <c r="C894" s="33">
        <f t="shared" si="26"/>
        <v>45298</v>
      </c>
      <c r="D894" s="34">
        <f t="shared" si="27"/>
        <v>45298</v>
      </c>
      <c r="E894" s="35" t="s">
        <v>1449</v>
      </c>
      <c r="F894" s="2">
        <v>0.98750000000000004</v>
      </c>
      <c r="G894" s="3" t="s">
        <v>54</v>
      </c>
      <c r="H894" s="3" t="s">
        <v>58</v>
      </c>
      <c r="I894" s="25" t="str">
        <f>VLOOKUP(H894,Tabla5[#All],4,FALSE)</f>
        <v>-31,423018915313, -64,1493562190664</v>
      </c>
      <c r="J894" s="1">
        <v>18988</v>
      </c>
      <c r="K894" s="7">
        <f>INT((crimenes_cordoba_ampliado[[#This Row],[Fecha]]-crimenes_cordoba_ampliado[[#This Row],[Fecha Nac. Delincuente]])/365)</f>
        <v>72</v>
      </c>
      <c r="L894" s="7" t="str">
        <f>_xlfn.XLOOKUP(crimenes_cordoba_ampliado[[#This Row],[EDAD DELINCUENTE]],'Rango etareo'!$A$10:$A$25,'Rango etareo'!$B$10:$B$25,,-1)</f>
        <v>&gt;65</v>
      </c>
      <c r="M894" s="3" t="s">
        <v>22</v>
      </c>
      <c r="N894" s="3" t="str">
        <f>IF(crimenes_cordoba_ampliado[[#This Row],[Género Delincuente]]="Femenino","🚺","🚹")</f>
        <v>🚹</v>
      </c>
      <c r="O894">
        <v>4</v>
      </c>
      <c r="P894" s="1">
        <v>33291</v>
      </c>
      <c r="Q894" s="7">
        <f>INT((crimenes_cordoba_ampliado[[#This Row],[Fecha]]-crimenes_cordoba_ampliado[[#This Row],[Fecha Nac. Víctima]])/365)</f>
        <v>32</v>
      </c>
      <c r="R894" s="7" t="str">
        <f>_xlfn.XLOOKUP(crimenes_cordoba_ampliado[[#This Row],[EDAD VICTIMA]],'Rango etareo'!$A$2:$A$25,'Rango etareo'!$B$2:$B$25,,-1)</f>
        <v>26 - 35</v>
      </c>
      <c r="S894" s="3" t="s">
        <v>22</v>
      </c>
      <c r="T894" s="3" t="str">
        <f>IF(crimenes_cordoba_ampliado[[#This Row],[Género Víctima]]="Masculino","🚹","🚺")</f>
        <v>🚹</v>
      </c>
      <c r="U894">
        <v>3</v>
      </c>
      <c r="V894" s="3" t="s">
        <v>25</v>
      </c>
      <c r="W894" s="3" t="s">
        <v>36</v>
      </c>
      <c r="X894" s="3" t="s">
        <v>24</v>
      </c>
      <c r="Y894" s="3" t="s">
        <v>64</v>
      </c>
      <c r="Z894" s="3" t="s">
        <v>25</v>
      </c>
      <c r="AA894" s="3" t="s">
        <v>25</v>
      </c>
      <c r="AB894" s="3" t="str">
        <f>IF(crimenes_cordoba_ampliado[[#This Row],[Hubo Arresto]]="Sí", "Resuelto", "Pendiente")</f>
        <v>Pendiente</v>
      </c>
      <c r="AC894" s="3" t="s">
        <v>24</v>
      </c>
      <c r="AD894" s="3"/>
    </row>
    <row r="895" spans="1:30" x14ac:dyDescent="0.25">
      <c r="A895">
        <v>889</v>
      </c>
      <c r="B895" s="1">
        <v>45445</v>
      </c>
      <c r="C895" s="33">
        <f t="shared" si="26"/>
        <v>45445</v>
      </c>
      <c r="D895" s="34">
        <f t="shared" si="27"/>
        <v>45445</v>
      </c>
      <c r="E895" s="35" t="s">
        <v>1449</v>
      </c>
      <c r="F895" s="2">
        <v>0.92986111111111114</v>
      </c>
      <c r="G895" s="3" t="s">
        <v>27</v>
      </c>
      <c r="H895" s="3" t="s">
        <v>55</v>
      </c>
      <c r="I895" s="25" t="str">
        <f>VLOOKUP(H895,Tabla5[#All],4,FALSE)</f>
        <v>-31,4015892433235, -64,160442876477</v>
      </c>
      <c r="J895" s="1">
        <v>23061</v>
      </c>
      <c r="K895" s="7">
        <f>INT((crimenes_cordoba_ampliado[[#This Row],[Fecha]]-crimenes_cordoba_ampliado[[#This Row],[Fecha Nac. Delincuente]])/365)</f>
        <v>61</v>
      </c>
      <c r="L895" s="7" t="str">
        <f>_xlfn.XLOOKUP(crimenes_cordoba_ampliado[[#This Row],[EDAD DELINCUENTE]],'Rango etareo'!$A$10:$A$25,'Rango etareo'!$B$10:$B$25,,-1)</f>
        <v>56 - 65</v>
      </c>
      <c r="M895" s="3" t="s">
        <v>22</v>
      </c>
      <c r="N895" s="3" t="str">
        <f>IF(crimenes_cordoba_ampliado[[#This Row],[Género Delincuente]]="Femenino","🚺","🚹")</f>
        <v>🚹</v>
      </c>
      <c r="O895">
        <v>2</v>
      </c>
      <c r="P895" s="1">
        <v>16506</v>
      </c>
      <c r="Q895" s="7">
        <f>INT((crimenes_cordoba_ampliado[[#This Row],[Fecha]]-crimenes_cordoba_ampliado[[#This Row],[Fecha Nac. Víctima]])/365)</f>
        <v>79</v>
      </c>
      <c r="R895" s="7" t="str">
        <f>_xlfn.XLOOKUP(crimenes_cordoba_ampliado[[#This Row],[EDAD VICTIMA]],'Rango etareo'!$A$2:$A$25,'Rango etareo'!$B$2:$B$25,,-1)</f>
        <v>&gt;65</v>
      </c>
      <c r="S895" s="3" t="s">
        <v>21</v>
      </c>
      <c r="T895" s="3" t="str">
        <f>IF(crimenes_cordoba_ampliado[[#This Row],[Género Víctima]]="Masculino","🚹","🚺")</f>
        <v>🚺</v>
      </c>
      <c r="U895">
        <v>3</v>
      </c>
      <c r="V895" s="3" t="s">
        <v>23</v>
      </c>
      <c r="W895" s="3" t="s">
        <v>36</v>
      </c>
      <c r="X895" s="3" t="s">
        <v>41</v>
      </c>
      <c r="Y895" s="3" t="s">
        <v>24</v>
      </c>
      <c r="Z895" s="3" t="s">
        <v>25</v>
      </c>
      <c r="AA895" s="3" t="s">
        <v>25</v>
      </c>
      <c r="AB895" s="3" t="str">
        <f>IF(crimenes_cordoba_ampliado[[#This Row],[Hubo Arresto]]="Sí", "Resuelto", "Pendiente")</f>
        <v>Resuelto</v>
      </c>
      <c r="AC895" s="3" t="s">
        <v>315</v>
      </c>
      <c r="AD895" s="3"/>
    </row>
    <row r="896" spans="1:30" x14ac:dyDescent="0.25">
      <c r="A896">
        <v>893</v>
      </c>
      <c r="B896" s="1">
        <v>45357</v>
      </c>
      <c r="C896" s="33">
        <f t="shared" si="26"/>
        <v>45357</v>
      </c>
      <c r="D896" s="34">
        <f t="shared" si="27"/>
        <v>45357</v>
      </c>
      <c r="E896" s="35" t="s">
        <v>1450</v>
      </c>
      <c r="F896" s="2">
        <v>0.95902777777777781</v>
      </c>
      <c r="G896" s="3" t="s">
        <v>81</v>
      </c>
      <c r="H896" s="3" t="s">
        <v>20</v>
      </c>
      <c r="I896" s="25" t="str">
        <f>VLOOKUP(H896,Tabla5[#All],4,FALSE)</f>
        <v>-31,4800162965848, -64,2094200976892</v>
      </c>
      <c r="J896" s="1">
        <v>35202</v>
      </c>
      <c r="K896" s="7">
        <f>INT((crimenes_cordoba_ampliado[[#This Row],[Fecha]]-crimenes_cordoba_ampliado[[#This Row],[Fecha Nac. Delincuente]])/365)</f>
        <v>27</v>
      </c>
      <c r="L896" s="7" t="str">
        <f>_xlfn.XLOOKUP(crimenes_cordoba_ampliado[[#This Row],[EDAD DELINCUENTE]],'Rango etareo'!$A$10:$A$25,'Rango etareo'!$B$10:$B$25,,-1)</f>
        <v>26 - 35</v>
      </c>
      <c r="M896" s="3" t="s">
        <v>21</v>
      </c>
      <c r="N896" s="3" t="str">
        <f>IF(crimenes_cordoba_ampliado[[#This Row],[Género Delincuente]]="Femenino","🚺","🚹")</f>
        <v>🚺</v>
      </c>
      <c r="O896">
        <v>3</v>
      </c>
      <c r="P896" s="1">
        <v>24527</v>
      </c>
      <c r="Q896" s="7">
        <f>INT((crimenes_cordoba_ampliado[[#This Row],[Fecha]]-crimenes_cordoba_ampliado[[#This Row],[Fecha Nac. Víctima]])/365)</f>
        <v>57</v>
      </c>
      <c r="R896" s="7" t="str">
        <f>_xlfn.XLOOKUP(crimenes_cordoba_ampliado[[#This Row],[EDAD VICTIMA]],'Rango etareo'!$A$2:$A$25,'Rango etareo'!$B$2:$B$25,,-1)</f>
        <v>56 - 65</v>
      </c>
      <c r="S896" s="3" t="s">
        <v>22</v>
      </c>
      <c r="T896" s="3" t="str">
        <f>IF(crimenes_cordoba_ampliado[[#This Row],[Género Víctima]]="Masculino","🚹","🚺")</f>
        <v>🚹</v>
      </c>
      <c r="U896">
        <v>3</v>
      </c>
      <c r="V896" s="3" t="s">
        <v>23</v>
      </c>
      <c r="W896" s="3" t="s">
        <v>63</v>
      </c>
      <c r="X896" s="3" t="s">
        <v>24</v>
      </c>
      <c r="Y896" s="3" t="s">
        <v>77</v>
      </c>
      <c r="Z896" s="3" t="s">
        <v>23</v>
      </c>
      <c r="AA896" s="3" t="s">
        <v>23</v>
      </c>
      <c r="AB896" s="3" t="str">
        <f>IF(crimenes_cordoba_ampliado[[#This Row],[Hubo Arresto]]="Sí", "Resuelto", "Pendiente")</f>
        <v>Resuelto</v>
      </c>
      <c r="AC896" s="3" t="s">
        <v>185</v>
      </c>
      <c r="AD896" s="3"/>
    </row>
    <row r="897" spans="1:30" x14ac:dyDescent="0.25">
      <c r="A897">
        <v>505</v>
      </c>
      <c r="B897" s="1">
        <v>45307</v>
      </c>
      <c r="C897" s="33">
        <f t="shared" si="26"/>
        <v>45307</v>
      </c>
      <c r="D897" s="34">
        <f t="shared" si="27"/>
        <v>45307</v>
      </c>
      <c r="E897" s="35" t="s">
        <v>1453</v>
      </c>
      <c r="F897" s="2">
        <v>0.51180555555555551</v>
      </c>
      <c r="G897" s="3" t="s">
        <v>54</v>
      </c>
      <c r="H897" s="3" t="s">
        <v>65</v>
      </c>
      <c r="I897" s="25" t="str">
        <f>VLOOKUP(H897,Tabla5[#All],4,FALSE)</f>
        <v>-31,4285567311661, -64,1853198281007</v>
      </c>
      <c r="J897" s="1">
        <v>21970</v>
      </c>
      <c r="K897" s="7">
        <f>INT((crimenes_cordoba_ampliado[[#This Row],[Fecha]]-crimenes_cordoba_ampliado[[#This Row],[Fecha Nac. Delincuente]])/365)</f>
        <v>63</v>
      </c>
      <c r="L897" s="7" t="str">
        <f>_xlfn.XLOOKUP(crimenes_cordoba_ampliado[[#This Row],[EDAD DELINCUENTE]],'Rango etareo'!$A$10:$A$25,'Rango etareo'!$B$10:$B$25,,-1)</f>
        <v>56 - 65</v>
      </c>
      <c r="M897" s="3" t="s">
        <v>22</v>
      </c>
      <c r="N897" s="3" t="str">
        <f>IF(crimenes_cordoba_ampliado[[#This Row],[Género Delincuente]]="Femenino","🚺","🚹")</f>
        <v>🚹</v>
      </c>
      <c r="O897">
        <v>2</v>
      </c>
      <c r="P897" s="1">
        <v>31210</v>
      </c>
      <c r="Q897" s="7">
        <f>INT((crimenes_cordoba_ampliado[[#This Row],[Fecha]]-crimenes_cordoba_ampliado[[#This Row],[Fecha Nac. Víctima]])/365)</f>
        <v>38</v>
      </c>
      <c r="R897" s="7" t="str">
        <f>_xlfn.XLOOKUP(crimenes_cordoba_ampliado[[#This Row],[EDAD VICTIMA]],'Rango etareo'!$A$2:$A$25,'Rango etareo'!$B$2:$B$25,,-1)</f>
        <v>36 - 45</v>
      </c>
      <c r="S897" s="3" t="s">
        <v>21</v>
      </c>
      <c r="T897" s="3" t="str">
        <f>IF(crimenes_cordoba_ampliado[[#This Row],[Género Víctima]]="Masculino","🚹","🚺")</f>
        <v>🚺</v>
      </c>
      <c r="U897">
        <v>1</v>
      </c>
      <c r="V897" s="3" t="s">
        <v>25</v>
      </c>
      <c r="W897" s="3" t="s">
        <v>24</v>
      </c>
      <c r="X897" s="3" t="s">
        <v>24</v>
      </c>
      <c r="Y897" s="3" t="s">
        <v>43</v>
      </c>
      <c r="Z897" s="3" t="s">
        <v>25</v>
      </c>
      <c r="AA897" s="3" t="s">
        <v>25</v>
      </c>
      <c r="AB897" s="3" t="str">
        <f>IF(crimenes_cordoba_ampliado[[#This Row],[Hubo Arresto]]="Sí", "Resuelto", "Pendiente")</f>
        <v>Pendiente</v>
      </c>
      <c r="AC897" s="3" t="s">
        <v>24</v>
      </c>
      <c r="AD897" s="3"/>
    </row>
    <row r="898" spans="1:30" x14ac:dyDescent="0.25">
      <c r="A898">
        <v>329</v>
      </c>
      <c r="B898" s="1">
        <v>45309</v>
      </c>
      <c r="C898" s="33">
        <f t="shared" ref="C898:C961" si="28">B:B</f>
        <v>45309</v>
      </c>
      <c r="D898" s="34">
        <f t="shared" ref="D898:D961" si="29">B:B</f>
        <v>45309</v>
      </c>
      <c r="E898" s="35" t="s">
        <v>1454</v>
      </c>
      <c r="F898" s="2">
        <v>0.13333333333333333</v>
      </c>
      <c r="G898" s="3" t="s">
        <v>35</v>
      </c>
      <c r="H898" s="3" t="s">
        <v>70</v>
      </c>
      <c r="I898" s="25" t="str">
        <f>VLOOKUP(H898,Tabla5[#All],4,FALSE)</f>
        <v>-31,3759272890294, -64,2284587792478</v>
      </c>
      <c r="J898" s="1">
        <v>18593</v>
      </c>
      <c r="K898" s="7">
        <f>INT((crimenes_cordoba_ampliado[[#This Row],[Fecha]]-crimenes_cordoba_ampliado[[#This Row],[Fecha Nac. Delincuente]])/365)</f>
        <v>73</v>
      </c>
      <c r="L898" s="7" t="str">
        <f>_xlfn.XLOOKUP(crimenes_cordoba_ampliado[[#This Row],[EDAD DELINCUENTE]],'Rango etareo'!$A$10:$A$25,'Rango etareo'!$B$10:$B$25,,-1)</f>
        <v>&gt;65</v>
      </c>
      <c r="M898" s="3" t="s">
        <v>22</v>
      </c>
      <c r="N898" s="3" t="str">
        <f>IF(crimenes_cordoba_ampliado[[#This Row],[Género Delincuente]]="Femenino","🚺","🚹")</f>
        <v>🚹</v>
      </c>
      <c r="O898">
        <v>5</v>
      </c>
      <c r="P898" s="1">
        <v>31145</v>
      </c>
      <c r="Q898" s="7">
        <f>INT((crimenes_cordoba_ampliado[[#This Row],[Fecha]]-crimenes_cordoba_ampliado[[#This Row],[Fecha Nac. Víctima]])/365)</f>
        <v>38</v>
      </c>
      <c r="R898" s="7" t="str">
        <f>_xlfn.XLOOKUP(crimenes_cordoba_ampliado[[#This Row],[EDAD VICTIMA]],'Rango etareo'!$A$2:$A$25,'Rango etareo'!$B$2:$B$25,,-1)</f>
        <v>36 - 45</v>
      </c>
      <c r="S898" s="3" t="s">
        <v>22</v>
      </c>
      <c r="T898" s="3" t="str">
        <f>IF(crimenes_cordoba_ampliado[[#This Row],[Género Víctima]]="Masculino","🚹","🚺")</f>
        <v>🚹</v>
      </c>
      <c r="U898">
        <v>2</v>
      </c>
      <c r="V898" s="3" t="s">
        <v>25</v>
      </c>
      <c r="W898" s="3" t="s">
        <v>24</v>
      </c>
      <c r="X898" s="3" t="s">
        <v>67</v>
      </c>
      <c r="Y898" s="3" t="s">
        <v>24</v>
      </c>
      <c r="Z898" s="3" t="s">
        <v>25</v>
      </c>
      <c r="AA898" s="3" t="s">
        <v>23</v>
      </c>
      <c r="AB898" s="3" t="str">
        <f>IF(crimenes_cordoba_ampliado[[#This Row],[Hubo Arresto]]="Sí", "Resuelto", "Pendiente")</f>
        <v>Pendiente</v>
      </c>
      <c r="AC898" s="3" t="s">
        <v>24</v>
      </c>
      <c r="AD898" s="3"/>
    </row>
    <row r="899" spans="1:30" x14ac:dyDescent="0.25">
      <c r="A899">
        <v>894</v>
      </c>
      <c r="B899" s="1">
        <v>44419</v>
      </c>
      <c r="C899" s="33">
        <f t="shared" si="28"/>
        <v>44419</v>
      </c>
      <c r="D899" s="34">
        <f t="shared" si="29"/>
        <v>44419</v>
      </c>
      <c r="E899" s="35" t="s">
        <v>1450</v>
      </c>
      <c r="F899" s="2">
        <v>0.40763888888888888</v>
      </c>
      <c r="G899" s="3" t="s">
        <v>54</v>
      </c>
      <c r="H899" s="3" t="s">
        <v>52</v>
      </c>
      <c r="I899" s="25" t="str">
        <f>VLOOKUP(H899,Tabla5[#All],4,FALSE)</f>
        <v>-31,3477902896523, -64,2644406169297</v>
      </c>
      <c r="J899" s="1">
        <v>23385</v>
      </c>
      <c r="K899" s="7">
        <f>INT((crimenes_cordoba_ampliado[[#This Row],[Fecha]]-crimenes_cordoba_ampliado[[#This Row],[Fecha Nac. Delincuente]])/365)</f>
        <v>57</v>
      </c>
      <c r="L899" s="7" t="str">
        <f>_xlfn.XLOOKUP(crimenes_cordoba_ampliado[[#This Row],[EDAD DELINCUENTE]],'Rango etareo'!$A$10:$A$25,'Rango etareo'!$B$10:$B$25,,-1)</f>
        <v>56 - 65</v>
      </c>
      <c r="M899" s="3" t="s">
        <v>22</v>
      </c>
      <c r="N899" s="3" t="str">
        <f>IF(crimenes_cordoba_ampliado[[#This Row],[Género Delincuente]]="Femenino","🚺","🚹")</f>
        <v>🚹</v>
      </c>
      <c r="O899">
        <v>5</v>
      </c>
      <c r="P899" s="1">
        <v>33339</v>
      </c>
      <c r="Q899" s="7">
        <f>INT((crimenes_cordoba_ampliado[[#This Row],[Fecha]]-crimenes_cordoba_ampliado[[#This Row],[Fecha Nac. Víctima]])/365)</f>
        <v>30</v>
      </c>
      <c r="R899" s="7" t="str">
        <f>_xlfn.XLOOKUP(crimenes_cordoba_ampliado[[#This Row],[EDAD VICTIMA]],'Rango etareo'!$A$2:$A$25,'Rango etareo'!$B$2:$B$25,,-1)</f>
        <v>26 - 35</v>
      </c>
      <c r="S899" s="3" t="s">
        <v>22</v>
      </c>
      <c r="T899" s="3" t="str">
        <f>IF(crimenes_cordoba_ampliado[[#This Row],[Género Víctima]]="Masculino","🚹","🚺")</f>
        <v>🚹</v>
      </c>
      <c r="U899">
        <v>1</v>
      </c>
      <c r="V899" s="3" t="s">
        <v>23</v>
      </c>
      <c r="W899" s="3" t="s">
        <v>24</v>
      </c>
      <c r="X899" s="3" t="s">
        <v>24</v>
      </c>
      <c r="Y899" s="3" t="s">
        <v>69</v>
      </c>
      <c r="Z899" s="3" t="s">
        <v>23</v>
      </c>
      <c r="AA899" s="3" t="s">
        <v>25</v>
      </c>
      <c r="AB899" s="3" t="str">
        <f>IF(crimenes_cordoba_ampliado[[#This Row],[Hubo Arresto]]="Sí", "Resuelto", "Pendiente")</f>
        <v>Resuelto</v>
      </c>
      <c r="AC899" s="3" t="s">
        <v>166</v>
      </c>
      <c r="AD899" s="3"/>
    </row>
    <row r="900" spans="1:30" x14ac:dyDescent="0.25">
      <c r="A900">
        <v>897</v>
      </c>
      <c r="B900" s="1">
        <v>43722</v>
      </c>
      <c r="C900" s="33">
        <f t="shared" si="28"/>
        <v>43722</v>
      </c>
      <c r="D900" s="34">
        <f t="shared" si="29"/>
        <v>43722</v>
      </c>
      <c r="E900" s="35" t="s">
        <v>1451</v>
      </c>
      <c r="F900" s="2">
        <v>0.82708333333333328</v>
      </c>
      <c r="G900" s="3" t="s">
        <v>27</v>
      </c>
      <c r="H900" s="3" t="s">
        <v>28</v>
      </c>
      <c r="I900" s="25" t="str">
        <f>VLOOKUP(H900,Tabla5[#All],4,FALSE)</f>
        <v>-31,4129883640337, -64,1681120522587</v>
      </c>
      <c r="J900" s="1">
        <v>38707</v>
      </c>
      <c r="K900" s="7">
        <f>INT((crimenes_cordoba_ampliado[[#This Row],[Fecha]]-crimenes_cordoba_ampliado[[#This Row],[Fecha Nac. Delincuente]])/365)</f>
        <v>13</v>
      </c>
      <c r="L900" s="7" t="str">
        <f>_xlfn.XLOOKUP(crimenes_cordoba_ampliado[[#This Row],[EDAD DELINCUENTE]],'Rango etareo'!$A$10:$A$25,'Rango etareo'!$B$10:$B$25,,-1)</f>
        <v>&lt;=17</v>
      </c>
      <c r="M900" s="3" t="s">
        <v>22</v>
      </c>
      <c r="N900" s="3" t="str">
        <f>IF(crimenes_cordoba_ampliado[[#This Row],[Género Delincuente]]="Femenino","🚺","🚹")</f>
        <v>🚹</v>
      </c>
      <c r="O900">
        <v>3</v>
      </c>
      <c r="P900" s="1">
        <v>15399</v>
      </c>
      <c r="Q900" s="7">
        <f>INT((crimenes_cordoba_ampliado[[#This Row],[Fecha]]-crimenes_cordoba_ampliado[[#This Row],[Fecha Nac. Víctima]])/365)</f>
        <v>77</v>
      </c>
      <c r="R900" s="7" t="str">
        <f>_xlfn.XLOOKUP(crimenes_cordoba_ampliado[[#This Row],[EDAD VICTIMA]],'Rango etareo'!$A$2:$A$25,'Rango etareo'!$B$2:$B$25,,-1)</f>
        <v>&gt;65</v>
      </c>
      <c r="S900" s="3" t="s">
        <v>22</v>
      </c>
      <c r="T900" s="3" t="str">
        <f>IF(crimenes_cordoba_ampliado[[#This Row],[Género Víctima]]="Masculino","🚹","🚺")</f>
        <v>🚹</v>
      </c>
      <c r="U900">
        <v>1</v>
      </c>
      <c r="V900" s="3" t="s">
        <v>23</v>
      </c>
      <c r="W900" s="3" t="s">
        <v>24</v>
      </c>
      <c r="X900" s="3" t="s">
        <v>50</v>
      </c>
      <c r="Y900" s="3" t="s">
        <v>24</v>
      </c>
      <c r="Z900" s="3" t="s">
        <v>25</v>
      </c>
      <c r="AA900" s="3" t="s">
        <v>25</v>
      </c>
      <c r="AB900" s="3" t="str">
        <f>IF(crimenes_cordoba_ampliado[[#This Row],[Hubo Arresto]]="Sí", "Resuelto", "Pendiente")</f>
        <v>Resuelto</v>
      </c>
      <c r="AC900" s="3" t="s">
        <v>214</v>
      </c>
      <c r="AD900" s="3"/>
    </row>
    <row r="901" spans="1:30" x14ac:dyDescent="0.25">
      <c r="A901">
        <v>898</v>
      </c>
      <c r="B901" s="1">
        <v>45413</v>
      </c>
      <c r="C901" s="33">
        <f t="shared" si="28"/>
        <v>45413</v>
      </c>
      <c r="D901" s="34">
        <f t="shared" si="29"/>
        <v>45413</v>
      </c>
      <c r="E901" s="35" t="s">
        <v>1450</v>
      </c>
      <c r="F901" s="2">
        <v>0.93472222222222223</v>
      </c>
      <c r="G901" s="3" t="s">
        <v>31</v>
      </c>
      <c r="H901" s="3" t="s">
        <v>58</v>
      </c>
      <c r="I901" s="25" t="str">
        <f>VLOOKUP(H901,Tabla5[#All],4,FALSE)</f>
        <v>-31,423018915313, -64,1493562190664</v>
      </c>
      <c r="J901" s="1">
        <v>23555</v>
      </c>
      <c r="K901" s="7">
        <f>INT((crimenes_cordoba_ampliado[[#This Row],[Fecha]]-crimenes_cordoba_ampliado[[#This Row],[Fecha Nac. Delincuente]])/365)</f>
        <v>59</v>
      </c>
      <c r="L901" s="7" t="str">
        <f>_xlfn.XLOOKUP(crimenes_cordoba_ampliado[[#This Row],[EDAD DELINCUENTE]],'Rango etareo'!$A$10:$A$25,'Rango etareo'!$B$10:$B$25,,-1)</f>
        <v>56 - 65</v>
      </c>
      <c r="M901" s="3" t="s">
        <v>22</v>
      </c>
      <c r="N901" s="3" t="str">
        <f>IF(crimenes_cordoba_ampliado[[#This Row],[Género Delincuente]]="Femenino","🚺","🚹")</f>
        <v>🚹</v>
      </c>
      <c r="O901">
        <v>3</v>
      </c>
      <c r="P901" s="1">
        <v>41158</v>
      </c>
      <c r="Q901" s="7">
        <f>INT((crimenes_cordoba_ampliado[[#This Row],[Fecha]]-crimenes_cordoba_ampliado[[#This Row],[Fecha Nac. Víctima]])/365)</f>
        <v>11</v>
      </c>
      <c r="R901" s="7" t="str">
        <f>_xlfn.XLOOKUP(crimenes_cordoba_ampliado[[#This Row],[EDAD VICTIMA]],'Rango etareo'!$A$2:$A$25,'Rango etareo'!$B$2:$B$25,,-1)</f>
        <v>&lt;=17</v>
      </c>
      <c r="S901" s="3" t="s">
        <v>21</v>
      </c>
      <c r="T901" s="3" t="str">
        <f>IF(crimenes_cordoba_ampliado[[#This Row],[Género Víctima]]="Masculino","🚹","🚺")</f>
        <v>🚺</v>
      </c>
      <c r="U901">
        <v>3</v>
      </c>
      <c r="V901" s="3" t="s">
        <v>23</v>
      </c>
      <c r="W901" s="3" t="s">
        <v>83</v>
      </c>
      <c r="X901" s="3" t="s">
        <v>24</v>
      </c>
      <c r="Y901" s="3" t="s">
        <v>99</v>
      </c>
      <c r="Z901" s="3" t="s">
        <v>25</v>
      </c>
      <c r="AA901" s="3" t="s">
        <v>25</v>
      </c>
      <c r="AB901" s="3" t="str">
        <f>IF(crimenes_cordoba_ampliado[[#This Row],[Hubo Arresto]]="Sí", "Resuelto", "Pendiente")</f>
        <v>Resuelto</v>
      </c>
      <c r="AC901" s="3" t="s">
        <v>316</v>
      </c>
      <c r="AD901" s="3"/>
    </row>
    <row r="902" spans="1:30" x14ac:dyDescent="0.25">
      <c r="A902">
        <v>177</v>
      </c>
      <c r="B902" s="1">
        <v>45319</v>
      </c>
      <c r="C902" s="33">
        <f t="shared" si="28"/>
        <v>45319</v>
      </c>
      <c r="D902" s="34">
        <f t="shared" si="29"/>
        <v>45319</v>
      </c>
      <c r="E902" s="35" t="s">
        <v>1449</v>
      </c>
      <c r="F902" s="2">
        <v>0.91874999999999996</v>
      </c>
      <c r="G902" s="3" t="s">
        <v>19</v>
      </c>
      <c r="H902" s="3" t="s">
        <v>55</v>
      </c>
      <c r="I902" s="25" t="str">
        <f>VLOOKUP(H902,Tabla5[#All],4,FALSE)</f>
        <v>-31,4015892433235, -64,160442876477</v>
      </c>
      <c r="J902" s="1">
        <v>19831</v>
      </c>
      <c r="K902" s="7">
        <f>INT((crimenes_cordoba_ampliado[[#This Row],[Fecha]]-crimenes_cordoba_ampliado[[#This Row],[Fecha Nac. Delincuente]])/365)</f>
        <v>69</v>
      </c>
      <c r="L902" s="7" t="str">
        <f>_xlfn.XLOOKUP(crimenes_cordoba_ampliado[[#This Row],[EDAD DELINCUENTE]],'Rango etareo'!$A$10:$A$25,'Rango etareo'!$B$10:$B$25,,-1)</f>
        <v>&gt;65</v>
      </c>
      <c r="M902" s="3" t="s">
        <v>21</v>
      </c>
      <c r="N902" s="3" t="str">
        <f>IF(crimenes_cordoba_ampliado[[#This Row],[Género Delincuente]]="Femenino","🚺","🚹")</f>
        <v>🚺</v>
      </c>
      <c r="O902">
        <v>1</v>
      </c>
      <c r="P902" s="1">
        <v>40957</v>
      </c>
      <c r="Q902" s="7">
        <f>INT((crimenes_cordoba_ampliado[[#This Row],[Fecha]]-crimenes_cordoba_ampliado[[#This Row],[Fecha Nac. Víctima]])/365)</f>
        <v>11</v>
      </c>
      <c r="R902" s="7" t="str">
        <f>_xlfn.XLOOKUP(crimenes_cordoba_ampliado[[#This Row],[EDAD VICTIMA]],'Rango etareo'!$A$2:$A$25,'Rango etareo'!$B$2:$B$25,,-1)</f>
        <v>&lt;=17</v>
      </c>
      <c r="S902" s="3" t="s">
        <v>22</v>
      </c>
      <c r="T902" s="3" t="str">
        <f>IF(crimenes_cordoba_ampliado[[#This Row],[Género Víctima]]="Masculino","🚹","🚺")</f>
        <v>🚹</v>
      </c>
      <c r="U902">
        <v>1</v>
      </c>
      <c r="V902" s="3" t="s">
        <v>25</v>
      </c>
      <c r="W902" s="3" t="s">
        <v>24</v>
      </c>
      <c r="X902" s="3" t="s">
        <v>24</v>
      </c>
      <c r="Y902" s="3" t="s">
        <v>33</v>
      </c>
      <c r="Z902" s="3" t="s">
        <v>25</v>
      </c>
      <c r="AA902" s="3" t="s">
        <v>25</v>
      </c>
      <c r="AB902" s="3" t="str">
        <f>IF(crimenes_cordoba_ampliado[[#This Row],[Hubo Arresto]]="Sí", "Resuelto", "Pendiente")</f>
        <v>Pendiente</v>
      </c>
      <c r="AC902" s="3" t="s">
        <v>24</v>
      </c>
      <c r="AD902" s="3"/>
    </row>
    <row r="903" spans="1:30" x14ac:dyDescent="0.25">
      <c r="A903">
        <v>899</v>
      </c>
      <c r="B903" s="1">
        <v>44114</v>
      </c>
      <c r="C903" s="33">
        <f t="shared" si="28"/>
        <v>44114</v>
      </c>
      <c r="D903" s="34">
        <f t="shared" si="29"/>
        <v>44114</v>
      </c>
      <c r="E903" s="35" t="s">
        <v>1451</v>
      </c>
      <c r="F903" s="2">
        <v>0.91666666666666663</v>
      </c>
      <c r="G903" s="3" t="s">
        <v>54</v>
      </c>
      <c r="H903" s="3" t="s">
        <v>58</v>
      </c>
      <c r="I903" s="25" t="str">
        <f>VLOOKUP(H903,Tabla5[#All],4,FALSE)</f>
        <v>-31,423018915313, -64,1493562190664</v>
      </c>
      <c r="J903" s="1">
        <v>32243</v>
      </c>
      <c r="K903" s="7">
        <f>INT((crimenes_cordoba_ampliado[[#This Row],[Fecha]]-crimenes_cordoba_ampliado[[#This Row],[Fecha Nac. Delincuente]])/365)</f>
        <v>32</v>
      </c>
      <c r="L903" s="7" t="str">
        <f>_xlfn.XLOOKUP(crimenes_cordoba_ampliado[[#This Row],[EDAD DELINCUENTE]],'Rango etareo'!$A$10:$A$25,'Rango etareo'!$B$10:$B$25,,-1)</f>
        <v>26 - 35</v>
      </c>
      <c r="M903" s="3" t="s">
        <v>21</v>
      </c>
      <c r="N903" s="3" t="str">
        <f>IF(crimenes_cordoba_ampliado[[#This Row],[Género Delincuente]]="Femenino","🚺","🚹")</f>
        <v>🚺</v>
      </c>
      <c r="O903">
        <v>2</v>
      </c>
      <c r="P903" s="1">
        <v>39556</v>
      </c>
      <c r="Q903" s="7">
        <f>INT((crimenes_cordoba_ampliado[[#This Row],[Fecha]]-crimenes_cordoba_ampliado[[#This Row],[Fecha Nac. Víctima]])/365)</f>
        <v>12</v>
      </c>
      <c r="R903" s="7" t="str">
        <f>_xlfn.XLOOKUP(crimenes_cordoba_ampliado[[#This Row],[EDAD VICTIMA]],'Rango etareo'!$A$2:$A$25,'Rango etareo'!$B$2:$B$25,,-1)</f>
        <v>&lt;=17</v>
      </c>
      <c r="S903" s="3" t="s">
        <v>22</v>
      </c>
      <c r="T903" s="3" t="str">
        <f>IF(crimenes_cordoba_ampliado[[#This Row],[Género Víctima]]="Masculino","🚹","🚺")</f>
        <v>🚹</v>
      </c>
      <c r="U903">
        <v>3</v>
      </c>
      <c r="V903" s="3" t="s">
        <v>23</v>
      </c>
      <c r="W903" s="3" t="s">
        <v>71</v>
      </c>
      <c r="X903" s="3" t="s">
        <v>24</v>
      </c>
      <c r="Y903" s="3" t="s">
        <v>99</v>
      </c>
      <c r="Z903" s="3" t="s">
        <v>23</v>
      </c>
      <c r="AA903" s="3" t="s">
        <v>23</v>
      </c>
      <c r="AB903" s="3" t="str">
        <f>IF(crimenes_cordoba_ampliado[[#This Row],[Hubo Arresto]]="Sí", "Resuelto", "Pendiente")</f>
        <v>Resuelto</v>
      </c>
      <c r="AC903" s="3" t="s">
        <v>280</v>
      </c>
      <c r="AD903" s="3"/>
    </row>
    <row r="904" spans="1:30" x14ac:dyDescent="0.25">
      <c r="A904">
        <v>239</v>
      </c>
      <c r="B904" s="1">
        <v>45346</v>
      </c>
      <c r="C904" s="33">
        <f t="shared" si="28"/>
        <v>45346</v>
      </c>
      <c r="D904" s="34">
        <f t="shared" si="29"/>
        <v>45346</v>
      </c>
      <c r="E904" s="35" t="s">
        <v>1451</v>
      </c>
      <c r="F904" s="2">
        <v>0.97291666666666665</v>
      </c>
      <c r="G904" s="3" t="s">
        <v>42</v>
      </c>
      <c r="H904" s="3" t="s">
        <v>60</v>
      </c>
      <c r="I904" s="25" t="str">
        <f>VLOOKUP(H904,Tabla5[#All],4,FALSE)</f>
        <v>-31,4076397196409, -64,2020170430678</v>
      </c>
      <c r="J904" s="1">
        <v>28963</v>
      </c>
      <c r="K904" s="7">
        <f>INT((crimenes_cordoba_ampliado[[#This Row],[Fecha]]-crimenes_cordoba_ampliado[[#This Row],[Fecha Nac. Delincuente]])/365)</f>
        <v>44</v>
      </c>
      <c r="L904" s="7" t="str">
        <f>_xlfn.XLOOKUP(crimenes_cordoba_ampliado[[#This Row],[EDAD DELINCUENTE]],'Rango etareo'!$A$10:$A$25,'Rango etareo'!$B$10:$B$25,,-1)</f>
        <v>36 - 45</v>
      </c>
      <c r="M904" s="3" t="s">
        <v>22</v>
      </c>
      <c r="N904" s="3" t="str">
        <f>IF(crimenes_cordoba_ampliado[[#This Row],[Género Delincuente]]="Femenino","🚺","🚹")</f>
        <v>🚹</v>
      </c>
      <c r="O904">
        <v>3</v>
      </c>
      <c r="P904" s="1">
        <v>20602</v>
      </c>
      <c r="Q904" s="7">
        <f>INT((crimenes_cordoba_ampliado[[#This Row],[Fecha]]-crimenes_cordoba_ampliado[[#This Row],[Fecha Nac. Víctima]])/365)</f>
        <v>67</v>
      </c>
      <c r="R904" s="7" t="str">
        <f>_xlfn.XLOOKUP(crimenes_cordoba_ampliado[[#This Row],[EDAD VICTIMA]],'Rango etareo'!$A$2:$A$25,'Rango etareo'!$B$2:$B$25,,-1)</f>
        <v>&gt;65</v>
      </c>
      <c r="S904" s="3" t="s">
        <v>21</v>
      </c>
      <c r="T904" s="3" t="str">
        <f>IF(crimenes_cordoba_ampliado[[#This Row],[Género Víctima]]="Masculino","🚹","🚺")</f>
        <v>🚺</v>
      </c>
      <c r="U904">
        <v>3</v>
      </c>
      <c r="V904" s="3" t="s">
        <v>25</v>
      </c>
      <c r="W904" s="3" t="s">
        <v>36</v>
      </c>
      <c r="X904" s="3" t="s">
        <v>24</v>
      </c>
      <c r="Y904" s="3" t="s">
        <v>99</v>
      </c>
      <c r="Z904" s="3" t="s">
        <v>23</v>
      </c>
      <c r="AA904" s="3" t="s">
        <v>25</v>
      </c>
      <c r="AB904" s="3" t="str">
        <f>IF(crimenes_cordoba_ampliado[[#This Row],[Hubo Arresto]]="Sí", "Resuelto", "Pendiente")</f>
        <v>Pendiente</v>
      </c>
      <c r="AC904" s="3" t="s">
        <v>24</v>
      </c>
      <c r="AD904" s="3"/>
    </row>
    <row r="905" spans="1:30" x14ac:dyDescent="0.25">
      <c r="A905">
        <v>792</v>
      </c>
      <c r="B905" s="1">
        <v>45353</v>
      </c>
      <c r="C905" s="33">
        <f t="shared" si="28"/>
        <v>45353</v>
      </c>
      <c r="D905" s="34">
        <f t="shared" si="29"/>
        <v>45353</v>
      </c>
      <c r="E905" s="35" t="s">
        <v>1451</v>
      </c>
      <c r="F905" s="2">
        <v>0.49513888888888891</v>
      </c>
      <c r="G905" s="3" t="s">
        <v>42</v>
      </c>
      <c r="H905" s="3" t="s">
        <v>60</v>
      </c>
      <c r="I905" s="25" t="str">
        <f>VLOOKUP(H905,Tabla5[#All],4,FALSE)</f>
        <v>-31,4076397196409, -64,2020170430678</v>
      </c>
      <c r="J905" s="1">
        <v>34167</v>
      </c>
      <c r="K905" s="7">
        <f>INT((crimenes_cordoba_ampliado[[#This Row],[Fecha]]-crimenes_cordoba_ampliado[[#This Row],[Fecha Nac. Delincuente]])/365)</f>
        <v>30</v>
      </c>
      <c r="L905" s="7" t="str">
        <f>_xlfn.XLOOKUP(crimenes_cordoba_ampliado[[#This Row],[EDAD DELINCUENTE]],'Rango etareo'!$A$10:$A$25,'Rango etareo'!$B$10:$B$25,,-1)</f>
        <v>26 - 35</v>
      </c>
      <c r="M905" s="3" t="s">
        <v>21</v>
      </c>
      <c r="N905" s="3" t="str">
        <f>IF(crimenes_cordoba_ampliado[[#This Row],[Género Delincuente]]="Femenino","🚺","🚹")</f>
        <v>🚺</v>
      </c>
      <c r="O905">
        <v>1</v>
      </c>
      <c r="P905" s="1">
        <v>30060</v>
      </c>
      <c r="Q905" s="7">
        <f>INT((crimenes_cordoba_ampliado[[#This Row],[Fecha]]-crimenes_cordoba_ampliado[[#This Row],[Fecha Nac. Víctima]])/365)</f>
        <v>41</v>
      </c>
      <c r="R905" s="7" t="str">
        <f>_xlfn.XLOOKUP(crimenes_cordoba_ampliado[[#This Row],[EDAD VICTIMA]],'Rango etareo'!$A$2:$A$25,'Rango etareo'!$B$2:$B$25,,-1)</f>
        <v>36 - 45</v>
      </c>
      <c r="S905" s="3" t="s">
        <v>22</v>
      </c>
      <c r="T905" s="3" t="str">
        <f>IF(crimenes_cordoba_ampliado[[#This Row],[Género Víctima]]="Masculino","🚹","🚺")</f>
        <v>🚹</v>
      </c>
      <c r="U905">
        <v>1</v>
      </c>
      <c r="V905" s="3" t="s">
        <v>25</v>
      </c>
      <c r="W905" s="3" t="s">
        <v>24</v>
      </c>
      <c r="X905" s="3" t="s">
        <v>24</v>
      </c>
      <c r="Y905" s="3" t="s">
        <v>39</v>
      </c>
      <c r="Z905" s="3" t="s">
        <v>23</v>
      </c>
      <c r="AA905" s="3" t="s">
        <v>25</v>
      </c>
      <c r="AB905" s="3" t="str">
        <f>IF(crimenes_cordoba_ampliado[[#This Row],[Hubo Arresto]]="Sí", "Resuelto", "Pendiente")</f>
        <v>Pendiente</v>
      </c>
      <c r="AC905" s="3" t="s">
        <v>24</v>
      </c>
      <c r="AD905" s="3"/>
    </row>
    <row r="906" spans="1:30" x14ac:dyDescent="0.25">
      <c r="A906">
        <v>901</v>
      </c>
      <c r="B906" s="1">
        <v>43813</v>
      </c>
      <c r="C906" s="33">
        <f t="shared" si="28"/>
        <v>43813</v>
      </c>
      <c r="D906" s="34">
        <f t="shared" si="29"/>
        <v>43813</v>
      </c>
      <c r="E906" s="35" t="s">
        <v>1451</v>
      </c>
      <c r="F906" s="2">
        <v>0.71666666666666667</v>
      </c>
      <c r="G906" s="3" t="s">
        <v>42</v>
      </c>
      <c r="H906" s="3" t="s">
        <v>32</v>
      </c>
      <c r="I906" s="25" t="str">
        <f>VLOOKUP(H906,Tabla5[#All],4,FALSE)</f>
        <v>-31,4148488101991, -64,1793406489438</v>
      </c>
      <c r="J906" s="1">
        <v>29061</v>
      </c>
      <c r="K906" s="7">
        <f>INT((crimenes_cordoba_ampliado[[#This Row],[Fecha]]-crimenes_cordoba_ampliado[[#This Row],[Fecha Nac. Delincuente]])/365)</f>
        <v>40</v>
      </c>
      <c r="L906" s="7" t="str">
        <f>_xlfn.XLOOKUP(crimenes_cordoba_ampliado[[#This Row],[EDAD DELINCUENTE]],'Rango etareo'!$A$10:$A$25,'Rango etareo'!$B$10:$B$25,,-1)</f>
        <v>36 - 45</v>
      </c>
      <c r="M906" s="3" t="s">
        <v>22</v>
      </c>
      <c r="N906" s="3" t="str">
        <f>IF(crimenes_cordoba_ampliado[[#This Row],[Género Delincuente]]="Femenino","🚺","🚹")</f>
        <v>🚹</v>
      </c>
      <c r="O906">
        <v>1</v>
      </c>
      <c r="P906" s="1">
        <v>41469</v>
      </c>
      <c r="Q906" s="7">
        <f>INT((crimenes_cordoba_ampliado[[#This Row],[Fecha]]-crimenes_cordoba_ampliado[[#This Row],[Fecha Nac. Víctima]])/365)</f>
        <v>6</v>
      </c>
      <c r="R906" s="7" t="str">
        <f>_xlfn.XLOOKUP(crimenes_cordoba_ampliado[[#This Row],[EDAD VICTIMA]],'Rango etareo'!$A$2:$A$25,'Rango etareo'!$B$2:$B$25,,-1)</f>
        <v>&lt;=17</v>
      </c>
      <c r="S906" s="3" t="s">
        <v>22</v>
      </c>
      <c r="T906" s="3" t="str">
        <f>IF(crimenes_cordoba_ampliado[[#This Row],[Género Víctima]]="Masculino","🚹","🚺")</f>
        <v>🚹</v>
      </c>
      <c r="U906">
        <v>2</v>
      </c>
      <c r="V906" s="3" t="s">
        <v>23</v>
      </c>
      <c r="W906" s="3" t="s">
        <v>24</v>
      </c>
      <c r="X906" s="3" t="s">
        <v>24</v>
      </c>
      <c r="Y906" s="3" t="s">
        <v>89</v>
      </c>
      <c r="Z906" s="3" t="s">
        <v>25</v>
      </c>
      <c r="AA906" s="3" t="s">
        <v>23</v>
      </c>
      <c r="AB906" s="3" t="str">
        <f>IF(crimenes_cordoba_ampliado[[#This Row],[Hubo Arresto]]="Sí", "Resuelto", "Pendiente")</f>
        <v>Resuelto</v>
      </c>
      <c r="AC906" s="3" t="s">
        <v>220</v>
      </c>
      <c r="AD906" s="3"/>
    </row>
    <row r="907" spans="1:30" x14ac:dyDescent="0.25">
      <c r="A907">
        <v>904</v>
      </c>
      <c r="B907" s="1">
        <v>42586</v>
      </c>
      <c r="C907" s="33">
        <f t="shared" si="28"/>
        <v>42586</v>
      </c>
      <c r="D907" s="34">
        <f t="shared" si="29"/>
        <v>42586</v>
      </c>
      <c r="E907" s="35" t="s">
        <v>1454</v>
      </c>
      <c r="F907" s="2">
        <v>0.375</v>
      </c>
      <c r="G907" s="3" t="s">
        <v>35</v>
      </c>
      <c r="H907" s="3" t="s">
        <v>62</v>
      </c>
      <c r="I907" s="25" t="str">
        <f>VLOOKUP(H907,Tabla5[#All],4,FALSE)</f>
        <v>-31,3909520937826, -64,1836424491715</v>
      </c>
      <c r="J907" s="1">
        <v>22436</v>
      </c>
      <c r="K907" s="7">
        <f>INT((crimenes_cordoba_ampliado[[#This Row],[Fecha]]-crimenes_cordoba_ampliado[[#This Row],[Fecha Nac. Delincuente]])/365)</f>
        <v>55</v>
      </c>
      <c r="L907" s="7" t="str">
        <f>_xlfn.XLOOKUP(crimenes_cordoba_ampliado[[#This Row],[EDAD DELINCUENTE]],'Rango etareo'!$A$10:$A$25,'Rango etareo'!$B$10:$B$25,,-1)</f>
        <v>46 - 55</v>
      </c>
      <c r="M907" s="3" t="s">
        <v>21</v>
      </c>
      <c r="N907" s="3" t="str">
        <f>IF(crimenes_cordoba_ampliado[[#This Row],[Género Delincuente]]="Femenino","🚺","🚹")</f>
        <v>🚺</v>
      </c>
      <c r="O907">
        <v>3</v>
      </c>
      <c r="P907" s="1">
        <v>38509</v>
      </c>
      <c r="Q907" s="7">
        <f>INT((crimenes_cordoba_ampliado[[#This Row],[Fecha]]-crimenes_cordoba_ampliado[[#This Row],[Fecha Nac. Víctima]])/365)</f>
        <v>11</v>
      </c>
      <c r="R907" s="7" t="str">
        <f>_xlfn.XLOOKUP(crimenes_cordoba_ampliado[[#This Row],[EDAD VICTIMA]],'Rango etareo'!$A$2:$A$25,'Rango etareo'!$B$2:$B$25,,-1)</f>
        <v>&lt;=17</v>
      </c>
      <c r="S907" s="3" t="s">
        <v>21</v>
      </c>
      <c r="T907" s="3" t="str">
        <f>IF(crimenes_cordoba_ampliado[[#This Row],[Género Víctima]]="Masculino","🚹","🚺")</f>
        <v>🚺</v>
      </c>
      <c r="U907">
        <v>3</v>
      </c>
      <c r="V907" s="3" t="s">
        <v>23</v>
      </c>
      <c r="W907" s="3" t="s">
        <v>24</v>
      </c>
      <c r="X907" s="3" t="s">
        <v>24</v>
      </c>
      <c r="Y907" s="3" t="s">
        <v>56</v>
      </c>
      <c r="Z907" s="3" t="s">
        <v>25</v>
      </c>
      <c r="AA907" s="3" t="s">
        <v>23</v>
      </c>
      <c r="AB907" s="3" t="str">
        <f>IF(crimenes_cordoba_ampliado[[#This Row],[Hubo Arresto]]="Sí", "Resuelto", "Pendiente")</f>
        <v>Resuelto</v>
      </c>
      <c r="AC907" s="3" t="s">
        <v>317</v>
      </c>
      <c r="AD907" s="3"/>
    </row>
    <row r="908" spans="1:30" x14ac:dyDescent="0.25">
      <c r="A908">
        <v>905</v>
      </c>
      <c r="B908" s="1">
        <v>43654</v>
      </c>
      <c r="C908" s="33">
        <f t="shared" si="28"/>
        <v>43654</v>
      </c>
      <c r="D908" s="34">
        <f t="shared" si="29"/>
        <v>43654</v>
      </c>
      <c r="E908" s="35" t="s">
        <v>1452</v>
      </c>
      <c r="F908" s="2">
        <v>0.48194444444444445</v>
      </c>
      <c r="G908" s="3" t="s">
        <v>19</v>
      </c>
      <c r="H908" s="3" t="s">
        <v>40</v>
      </c>
      <c r="I908" s="25" t="str">
        <f>VLOOKUP(H908,Tabla5[#All],4,FALSE)</f>
        <v>-31,334500143441, -64,2460773260564</v>
      </c>
      <c r="J908" s="1">
        <v>20608</v>
      </c>
      <c r="K908" s="7">
        <f>INT((crimenes_cordoba_ampliado[[#This Row],[Fecha]]-crimenes_cordoba_ampliado[[#This Row],[Fecha Nac. Delincuente]])/365)</f>
        <v>63</v>
      </c>
      <c r="L908" s="7" t="str">
        <f>_xlfn.XLOOKUP(crimenes_cordoba_ampliado[[#This Row],[EDAD DELINCUENTE]],'Rango etareo'!$A$10:$A$25,'Rango etareo'!$B$10:$B$25,,-1)</f>
        <v>56 - 65</v>
      </c>
      <c r="M908" s="3" t="s">
        <v>22</v>
      </c>
      <c r="N908" s="3" t="str">
        <f>IF(crimenes_cordoba_ampliado[[#This Row],[Género Delincuente]]="Femenino","🚺","🚹")</f>
        <v>🚹</v>
      </c>
      <c r="O908">
        <v>5</v>
      </c>
      <c r="P908" s="1">
        <v>22191</v>
      </c>
      <c r="Q908" s="7">
        <f>INT((crimenes_cordoba_ampliado[[#This Row],[Fecha]]-crimenes_cordoba_ampliado[[#This Row],[Fecha Nac. Víctima]])/365)</f>
        <v>58</v>
      </c>
      <c r="R908" s="7" t="str">
        <f>_xlfn.XLOOKUP(crimenes_cordoba_ampliado[[#This Row],[EDAD VICTIMA]],'Rango etareo'!$A$2:$A$25,'Rango etareo'!$B$2:$B$25,,-1)</f>
        <v>56 - 65</v>
      </c>
      <c r="S908" s="3" t="s">
        <v>22</v>
      </c>
      <c r="T908" s="3" t="str">
        <f>IF(crimenes_cordoba_ampliado[[#This Row],[Género Víctima]]="Masculino","🚹","🚺")</f>
        <v>🚹</v>
      </c>
      <c r="U908">
        <v>3</v>
      </c>
      <c r="V908" s="3" t="s">
        <v>23</v>
      </c>
      <c r="W908" s="3" t="s">
        <v>24</v>
      </c>
      <c r="X908" s="3" t="s">
        <v>24</v>
      </c>
      <c r="Y908" s="3" t="s">
        <v>89</v>
      </c>
      <c r="Z908" s="3" t="s">
        <v>23</v>
      </c>
      <c r="AA908" s="3" t="s">
        <v>23</v>
      </c>
      <c r="AB908" s="3" t="str">
        <f>IF(crimenes_cordoba_ampliado[[#This Row],[Hubo Arresto]]="Sí", "Resuelto", "Pendiente")</f>
        <v>Resuelto</v>
      </c>
      <c r="AC908" s="3" t="s">
        <v>310</v>
      </c>
      <c r="AD908" s="3"/>
    </row>
    <row r="909" spans="1:30" x14ac:dyDescent="0.25">
      <c r="A909">
        <v>906</v>
      </c>
      <c r="B909" s="1">
        <v>44938</v>
      </c>
      <c r="C909" s="33">
        <f t="shared" si="28"/>
        <v>44938</v>
      </c>
      <c r="D909" s="34">
        <f t="shared" si="29"/>
        <v>44938</v>
      </c>
      <c r="E909" s="35" t="s">
        <v>1454</v>
      </c>
      <c r="F909" s="2">
        <v>0.23194444444444445</v>
      </c>
      <c r="G909" s="3" t="s">
        <v>42</v>
      </c>
      <c r="H909" s="3" t="s">
        <v>58</v>
      </c>
      <c r="I909" s="25" t="str">
        <f>VLOOKUP(H909,Tabla5[#All],4,FALSE)</f>
        <v>-31,423018915313, -64,1493562190664</v>
      </c>
      <c r="J909" s="1">
        <v>24004</v>
      </c>
      <c r="K909" s="7">
        <f>INT((crimenes_cordoba_ampliado[[#This Row],[Fecha]]-crimenes_cordoba_ampliado[[#This Row],[Fecha Nac. Delincuente]])/365)</f>
        <v>57</v>
      </c>
      <c r="L909" s="7" t="str">
        <f>_xlfn.XLOOKUP(crimenes_cordoba_ampliado[[#This Row],[EDAD DELINCUENTE]],'Rango etareo'!$A$10:$A$25,'Rango etareo'!$B$10:$B$25,,-1)</f>
        <v>56 - 65</v>
      </c>
      <c r="M909" s="3" t="s">
        <v>22</v>
      </c>
      <c r="N909" s="3" t="str">
        <f>IF(crimenes_cordoba_ampliado[[#This Row],[Género Delincuente]]="Femenino","🚺","🚹")</f>
        <v>🚹</v>
      </c>
      <c r="O909">
        <v>3</v>
      </c>
      <c r="P909" s="1">
        <v>29283</v>
      </c>
      <c r="Q909" s="7">
        <f>INT((crimenes_cordoba_ampliado[[#This Row],[Fecha]]-crimenes_cordoba_ampliado[[#This Row],[Fecha Nac. Víctima]])/365)</f>
        <v>42</v>
      </c>
      <c r="R909" s="7" t="str">
        <f>_xlfn.XLOOKUP(crimenes_cordoba_ampliado[[#This Row],[EDAD VICTIMA]],'Rango etareo'!$A$2:$A$25,'Rango etareo'!$B$2:$B$25,,-1)</f>
        <v>36 - 45</v>
      </c>
      <c r="S909" s="3" t="s">
        <v>22</v>
      </c>
      <c r="T909" s="3" t="str">
        <f>IF(crimenes_cordoba_ampliado[[#This Row],[Género Víctima]]="Masculino","🚹","🚺")</f>
        <v>🚹</v>
      </c>
      <c r="U909">
        <v>1</v>
      </c>
      <c r="V909" s="3" t="s">
        <v>23</v>
      </c>
      <c r="W909" s="3" t="s">
        <v>24</v>
      </c>
      <c r="X909" s="3" t="s">
        <v>24</v>
      </c>
      <c r="Y909" s="3" t="s">
        <v>24</v>
      </c>
      <c r="Z909" s="3" t="s">
        <v>25</v>
      </c>
      <c r="AA909" s="3" t="s">
        <v>25</v>
      </c>
      <c r="AB909" s="3" t="str">
        <f>IF(crimenes_cordoba_ampliado[[#This Row],[Hubo Arresto]]="Sí", "Resuelto", "Pendiente")</f>
        <v>Resuelto</v>
      </c>
      <c r="AC909" s="3" t="s">
        <v>189</v>
      </c>
      <c r="AD909" s="3"/>
    </row>
    <row r="910" spans="1:30" x14ac:dyDescent="0.25">
      <c r="A910">
        <v>907</v>
      </c>
      <c r="B910" s="1">
        <v>42621</v>
      </c>
      <c r="C910" s="33">
        <f t="shared" si="28"/>
        <v>42621</v>
      </c>
      <c r="D910" s="34">
        <f t="shared" si="29"/>
        <v>42621</v>
      </c>
      <c r="E910" s="35" t="s">
        <v>1454</v>
      </c>
      <c r="F910" s="2">
        <v>0.45069444444444445</v>
      </c>
      <c r="G910" s="3" t="s">
        <v>38</v>
      </c>
      <c r="H910" s="3" t="s">
        <v>52</v>
      </c>
      <c r="I910" s="25" t="str">
        <f>VLOOKUP(H910,Tabla5[#All],4,FALSE)</f>
        <v>-31,3477902896523, -64,2644406169297</v>
      </c>
      <c r="J910" s="1">
        <v>18844</v>
      </c>
      <c r="K910" s="7">
        <f>INT((crimenes_cordoba_ampliado[[#This Row],[Fecha]]-crimenes_cordoba_ampliado[[#This Row],[Fecha Nac. Delincuente]])/365)</f>
        <v>65</v>
      </c>
      <c r="L910" s="7" t="str">
        <f>_xlfn.XLOOKUP(crimenes_cordoba_ampliado[[#This Row],[EDAD DELINCUENTE]],'Rango etareo'!$A$10:$A$25,'Rango etareo'!$B$10:$B$25,,-1)</f>
        <v>&gt;65</v>
      </c>
      <c r="M910" s="3" t="s">
        <v>21</v>
      </c>
      <c r="N910" s="3" t="str">
        <f>IF(crimenes_cordoba_ampliado[[#This Row],[Género Delincuente]]="Femenino","🚺","🚹")</f>
        <v>🚺</v>
      </c>
      <c r="O910">
        <v>2</v>
      </c>
      <c r="P910" s="1">
        <v>31615</v>
      </c>
      <c r="Q910" s="7">
        <f>INT((crimenes_cordoba_ampliado[[#This Row],[Fecha]]-crimenes_cordoba_ampliado[[#This Row],[Fecha Nac. Víctima]])/365)</f>
        <v>30</v>
      </c>
      <c r="R910" s="7" t="str">
        <f>_xlfn.XLOOKUP(crimenes_cordoba_ampliado[[#This Row],[EDAD VICTIMA]],'Rango etareo'!$A$2:$A$25,'Rango etareo'!$B$2:$B$25,,-1)</f>
        <v>26 - 35</v>
      </c>
      <c r="S910" s="3" t="s">
        <v>22</v>
      </c>
      <c r="T910" s="3" t="str">
        <f>IF(crimenes_cordoba_ampliado[[#This Row],[Género Víctima]]="Masculino","🚹","🚺")</f>
        <v>🚹</v>
      </c>
      <c r="U910">
        <v>1</v>
      </c>
      <c r="V910" s="3" t="s">
        <v>23</v>
      </c>
      <c r="W910" s="3" t="s">
        <v>24</v>
      </c>
      <c r="X910" s="3" t="s">
        <v>24</v>
      </c>
      <c r="Y910" s="3" t="s">
        <v>72</v>
      </c>
      <c r="Z910" s="3" t="s">
        <v>23</v>
      </c>
      <c r="AA910" s="3" t="s">
        <v>25</v>
      </c>
      <c r="AB910" s="3" t="str">
        <f>IF(crimenes_cordoba_ampliado[[#This Row],[Hubo Arresto]]="Sí", "Resuelto", "Pendiente")</f>
        <v>Resuelto</v>
      </c>
      <c r="AC910" s="3" t="s">
        <v>184</v>
      </c>
      <c r="AD910" s="3"/>
    </row>
    <row r="911" spans="1:30" x14ac:dyDescent="0.25">
      <c r="A911">
        <v>903</v>
      </c>
      <c r="B911" s="1">
        <v>45369</v>
      </c>
      <c r="C911" s="33">
        <f t="shared" si="28"/>
        <v>45369</v>
      </c>
      <c r="D911" s="34">
        <f t="shared" si="29"/>
        <v>45369</v>
      </c>
      <c r="E911" s="35" t="s">
        <v>1452</v>
      </c>
      <c r="F911" s="2">
        <v>0.75416666666666665</v>
      </c>
      <c r="G911" s="3" t="s">
        <v>54</v>
      </c>
      <c r="H911" s="3" t="s">
        <v>40</v>
      </c>
      <c r="I911" s="25" t="str">
        <f>VLOOKUP(H911,Tabla5[#All],4,FALSE)</f>
        <v>-31,334500143441, -64,2460773260564</v>
      </c>
      <c r="J911" s="1">
        <v>30612</v>
      </c>
      <c r="K911" s="7">
        <f>INT((crimenes_cordoba_ampliado[[#This Row],[Fecha]]-crimenes_cordoba_ampliado[[#This Row],[Fecha Nac. Delincuente]])/365)</f>
        <v>40</v>
      </c>
      <c r="L911" s="7" t="str">
        <f>_xlfn.XLOOKUP(crimenes_cordoba_ampliado[[#This Row],[EDAD DELINCUENTE]],'Rango etareo'!$A$10:$A$25,'Rango etareo'!$B$10:$B$25,,-1)</f>
        <v>36 - 45</v>
      </c>
      <c r="M911" s="3" t="s">
        <v>22</v>
      </c>
      <c r="N911" s="3" t="str">
        <f>IF(crimenes_cordoba_ampliado[[#This Row],[Género Delincuente]]="Femenino","🚺","🚹")</f>
        <v>🚹</v>
      </c>
      <c r="O911">
        <v>3</v>
      </c>
      <c r="P911" s="1">
        <v>33172</v>
      </c>
      <c r="Q911" s="7">
        <f>INT((crimenes_cordoba_ampliado[[#This Row],[Fecha]]-crimenes_cordoba_ampliado[[#This Row],[Fecha Nac. Víctima]])/365)</f>
        <v>33</v>
      </c>
      <c r="R911" s="7" t="str">
        <f>_xlfn.XLOOKUP(crimenes_cordoba_ampliado[[#This Row],[EDAD VICTIMA]],'Rango etareo'!$A$2:$A$25,'Rango etareo'!$B$2:$B$25,,-1)</f>
        <v>26 - 35</v>
      </c>
      <c r="S911" s="3" t="s">
        <v>22</v>
      </c>
      <c r="T911" s="3" t="str">
        <f>IF(crimenes_cordoba_ampliado[[#This Row],[Género Víctima]]="Masculino","🚹","🚺")</f>
        <v>🚹</v>
      </c>
      <c r="U911">
        <v>3</v>
      </c>
      <c r="V911" s="3" t="s">
        <v>25</v>
      </c>
      <c r="W911" s="3" t="s">
        <v>24</v>
      </c>
      <c r="X911" s="3" t="s">
        <v>24</v>
      </c>
      <c r="Y911" s="3" t="s">
        <v>113</v>
      </c>
      <c r="Z911" s="3" t="s">
        <v>25</v>
      </c>
      <c r="AA911" s="3" t="s">
        <v>23</v>
      </c>
      <c r="AB911" s="3" t="str">
        <f>IF(crimenes_cordoba_ampliado[[#This Row],[Hubo Arresto]]="Sí", "Resuelto", "Pendiente")</f>
        <v>Pendiente</v>
      </c>
      <c r="AC911" s="3" t="s">
        <v>24</v>
      </c>
      <c r="AD911" s="3"/>
    </row>
    <row r="912" spans="1:30" x14ac:dyDescent="0.25">
      <c r="A912">
        <v>909</v>
      </c>
      <c r="B912" s="1">
        <v>44494</v>
      </c>
      <c r="C912" s="33">
        <f t="shared" si="28"/>
        <v>44494</v>
      </c>
      <c r="D912" s="34">
        <f t="shared" si="29"/>
        <v>44494</v>
      </c>
      <c r="E912" s="35" t="s">
        <v>1452</v>
      </c>
      <c r="F912" s="2">
        <v>0.50902777777777775</v>
      </c>
      <c r="G912" s="3" t="s">
        <v>81</v>
      </c>
      <c r="H912" s="3" t="s">
        <v>65</v>
      </c>
      <c r="I912" s="25" t="str">
        <f>VLOOKUP(H912,Tabla5[#All],4,FALSE)</f>
        <v>-31,4285567311661, -64,1853198281007</v>
      </c>
      <c r="J912" s="1">
        <v>34178</v>
      </c>
      <c r="K912" s="7">
        <f>INT((crimenes_cordoba_ampliado[[#This Row],[Fecha]]-crimenes_cordoba_ampliado[[#This Row],[Fecha Nac. Delincuente]])/365)</f>
        <v>28</v>
      </c>
      <c r="L912" s="7" t="str">
        <f>_xlfn.XLOOKUP(crimenes_cordoba_ampliado[[#This Row],[EDAD DELINCUENTE]],'Rango etareo'!$A$10:$A$25,'Rango etareo'!$B$10:$B$25,,-1)</f>
        <v>26 - 35</v>
      </c>
      <c r="M912" s="3" t="s">
        <v>22</v>
      </c>
      <c r="N912" s="3" t="str">
        <f>IF(crimenes_cordoba_ampliado[[#This Row],[Género Delincuente]]="Femenino","🚺","🚹")</f>
        <v>🚹</v>
      </c>
      <c r="O912">
        <v>3</v>
      </c>
      <c r="P912" s="1">
        <v>27311</v>
      </c>
      <c r="Q912" s="7">
        <f>INT((crimenes_cordoba_ampliado[[#This Row],[Fecha]]-crimenes_cordoba_ampliado[[#This Row],[Fecha Nac. Víctima]])/365)</f>
        <v>47</v>
      </c>
      <c r="R912" s="7" t="str">
        <f>_xlfn.XLOOKUP(crimenes_cordoba_ampliado[[#This Row],[EDAD VICTIMA]],'Rango etareo'!$A$2:$A$25,'Rango etareo'!$B$2:$B$25,,-1)</f>
        <v>46 - 55</v>
      </c>
      <c r="S912" s="3" t="s">
        <v>21</v>
      </c>
      <c r="T912" s="3" t="str">
        <f>IF(crimenes_cordoba_ampliado[[#This Row],[Género Víctima]]="Masculino","🚹","🚺")</f>
        <v>🚺</v>
      </c>
      <c r="U912">
        <v>1</v>
      </c>
      <c r="V912" s="3" t="s">
        <v>23</v>
      </c>
      <c r="W912" s="3" t="s">
        <v>24</v>
      </c>
      <c r="X912" s="3" t="s">
        <v>24</v>
      </c>
      <c r="Y912" s="3" t="s">
        <v>89</v>
      </c>
      <c r="Z912" s="3" t="s">
        <v>25</v>
      </c>
      <c r="AA912" s="3" t="s">
        <v>23</v>
      </c>
      <c r="AB912" s="3" t="str">
        <f>IF(crimenes_cordoba_ampliado[[#This Row],[Hubo Arresto]]="Sí", "Resuelto", "Pendiente")</f>
        <v>Resuelto</v>
      </c>
      <c r="AC912" s="3" t="s">
        <v>318</v>
      </c>
      <c r="AD912" s="3"/>
    </row>
    <row r="913" spans="1:30" x14ac:dyDescent="0.25">
      <c r="A913">
        <v>164</v>
      </c>
      <c r="B913" s="1">
        <v>45371</v>
      </c>
      <c r="C913" s="33">
        <f t="shared" si="28"/>
        <v>45371</v>
      </c>
      <c r="D913" s="34">
        <f t="shared" si="29"/>
        <v>45371</v>
      </c>
      <c r="E913" s="35" t="s">
        <v>1450</v>
      </c>
      <c r="F913" s="2">
        <v>0.39861111111111114</v>
      </c>
      <c r="G913" s="3" t="s">
        <v>51</v>
      </c>
      <c r="H913" s="3" t="s">
        <v>58</v>
      </c>
      <c r="I913" s="25" t="str">
        <f>VLOOKUP(H913,Tabla5[#All],4,FALSE)</f>
        <v>-31,423018915313, -64,1493562190664</v>
      </c>
      <c r="J913" s="1">
        <v>32762</v>
      </c>
      <c r="K913" s="7">
        <f>INT((crimenes_cordoba_ampliado[[#This Row],[Fecha]]-crimenes_cordoba_ampliado[[#This Row],[Fecha Nac. Delincuente]])/365)</f>
        <v>34</v>
      </c>
      <c r="L913" s="7" t="str">
        <f>_xlfn.XLOOKUP(crimenes_cordoba_ampliado[[#This Row],[EDAD DELINCUENTE]],'Rango etareo'!$A$10:$A$25,'Rango etareo'!$B$10:$B$25,,-1)</f>
        <v>26 - 35</v>
      </c>
      <c r="M913" s="3" t="s">
        <v>21</v>
      </c>
      <c r="N913" s="3" t="str">
        <f>IF(crimenes_cordoba_ampliado[[#This Row],[Género Delincuente]]="Femenino","🚺","🚹")</f>
        <v>🚺</v>
      </c>
      <c r="O913">
        <v>3</v>
      </c>
      <c r="P913" s="1">
        <v>21463</v>
      </c>
      <c r="Q913" s="7">
        <f>INT((crimenes_cordoba_ampliado[[#This Row],[Fecha]]-crimenes_cordoba_ampliado[[#This Row],[Fecha Nac. Víctima]])/365)</f>
        <v>65</v>
      </c>
      <c r="R913" s="7" t="str">
        <f>_xlfn.XLOOKUP(crimenes_cordoba_ampliado[[#This Row],[EDAD VICTIMA]],'Rango etareo'!$A$2:$A$25,'Rango etareo'!$B$2:$B$25,,-1)</f>
        <v>&gt;65</v>
      </c>
      <c r="S913" s="3" t="s">
        <v>22</v>
      </c>
      <c r="T913" s="3" t="str">
        <f>IF(crimenes_cordoba_ampliado[[#This Row],[Género Víctima]]="Masculino","🚹","🚺")</f>
        <v>🚹</v>
      </c>
      <c r="U913">
        <v>2</v>
      </c>
      <c r="V913" s="3" t="s">
        <v>25</v>
      </c>
      <c r="W913" s="3" t="s">
        <v>24</v>
      </c>
      <c r="X913" s="3" t="s">
        <v>24</v>
      </c>
      <c r="Y913" s="3" t="s">
        <v>39</v>
      </c>
      <c r="Z913" s="3" t="s">
        <v>25</v>
      </c>
      <c r="AA913" s="3" t="s">
        <v>23</v>
      </c>
      <c r="AB913" s="3" t="str">
        <f>IF(crimenes_cordoba_ampliado[[#This Row],[Hubo Arresto]]="Sí", "Resuelto", "Pendiente")</f>
        <v>Pendiente</v>
      </c>
      <c r="AC913" s="3" t="s">
        <v>24</v>
      </c>
      <c r="AD913" s="3"/>
    </row>
    <row r="914" spans="1:30" x14ac:dyDescent="0.25">
      <c r="A914">
        <v>896</v>
      </c>
      <c r="B914" s="1">
        <v>45379</v>
      </c>
      <c r="C914" s="33">
        <f t="shared" si="28"/>
        <v>45379</v>
      </c>
      <c r="D914" s="34">
        <f t="shared" si="29"/>
        <v>45379</v>
      </c>
      <c r="E914" s="35" t="s">
        <v>1454</v>
      </c>
      <c r="F914" s="2">
        <v>0.60277777777777775</v>
      </c>
      <c r="G914" s="3" t="s">
        <v>27</v>
      </c>
      <c r="H914" s="3" t="s">
        <v>62</v>
      </c>
      <c r="I914" s="25" t="str">
        <f>VLOOKUP(H914,Tabla5[#All],4,FALSE)</f>
        <v>-31,3909520937826, -64,1836424491715</v>
      </c>
      <c r="J914" s="1">
        <v>18445</v>
      </c>
      <c r="K914" s="7">
        <f>INT((crimenes_cordoba_ampliado[[#This Row],[Fecha]]-crimenes_cordoba_ampliado[[#This Row],[Fecha Nac. Delincuente]])/365)</f>
        <v>73</v>
      </c>
      <c r="L914" s="7" t="str">
        <f>_xlfn.XLOOKUP(crimenes_cordoba_ampliado[[#This Row],[EDAD DELINCUENTE]],'Rango etareo'!$A$10:$A$25,'Rango etareo'!$B$10:$B$25,,-1)</f>
        <v>&gt;65</v>
      </c>
      <c r="M914" s="3" t="s">
        <v>21</v>
      </c>
      <c r="N914" s="3" t="str">
        <f>IF(crimenes_cordoba_ampliado[[#This Row],[Género Delincuente]]="Femenino","🚺","🚹")</f>
        <v>🚺</v>
      </c>
      <c r="O914">
        <v>5</v>
      </c>
      <c r="P914" s="1">
        <v>37563</v>
      </c>
      <c r="Q914" s="7">
        <f>INT((crimenes_cordoba_ampliado[[#This Row],[Fecha]]-crimenes_cordoba_ampliado[[#This Row],[Fecha Nac. Víctima]])/365)</f>
        <v>21</v>
      </c>
      <c r="R914" s="7" t="str">
        <f>_xlfn.XLOOKUP(crimenes_cordoba_ampliado[[#This Row],[EDAD VICTIMA]],'Rango etareo'!$A$2:$A$25,'Rango etareo'!$B$2:$B$25,,-1)</f>
        <v>18 - 25</v>
      </c>
      <c r="S914" s="3" t="s">
        <v>21</v>
      </c>
      <c r="T914" s="3" t="str">
        <f>IF(crimenes_cordoba_ampliado[[#This Row],[Género Víctima]]="Masculino","🚹","🚺")</f>
        <v>🚺</v>
      </c>
      <c r="U914">
        <v>3</v>
      </c>
      <c r="V914" s="3" t="s">
        <v>25</v>
      </c>
      <c r="W914" s="3" t="s">
        <v>24</v>
      </c>
      <c r="X914" s="3" t="s">
        <v>24</v>
      </c>
      <c r="Y914" s="3" t="s">
        <v>72</v>
      </c>
      <c r="Z914" s="3" t="s">
        <v>23</v>
      </c>
      <c r="AA914" s="3" t="s">
        <v>25</v>
      </c>
      <c r="AB914" s="3" t="str">
        <f>IF(crimenes_cordoba_ampliado[[#This Row],[Hubo Arresto]]="Sí", "Resuelto", "Pendiente")</f>
        <v>Pendiente</v>
      </c>
      <c r="AC914" s="3" t="s">
        <v>24</v>
      </c>
      <c r="AD914" s="3"/>
    </row>
    <row r="915" spans="1:30" x14ac:dyDescent="0.25">
      <c r="A915">
        <v>912</v>
      </c>
      <c r="B915" s="1">
        <v>44013</v>
      </c>
      <c r="C915" s="33">
        <f t="shared" si="28"/>
        <v>44013</v>
      </c>
      <c r="D915" s="34">
        <f t="shared" si="29"/>
        <v>44013</v>
      </c>
      <c r="E915" s="35" t="s">
        <v>1450</v>
      </c>
      <c r="F915" s="2">
        <v>0.57708333333333328</v>
      </c>
      <c r="G915" s="3" t="s">
        <v>51</v>
      </c>
      <c r="H915" s="3" t="s">
        <v>32</v>
      </c>
      <c r="I915" s="25" t="str">
        <f>VLOOKUP(H915,Tabla5[#All],4,FALSE)</f>
        <v>-31,4148488101991, -64,1793406489438</v>
      </c>
      <c r="J915" s="1">
        <v>24157</v>
      </c>
      <c r="K915" s="7">
        <f>INT((crimenes_cordoba_ampliado[[#This Row],[Fecha]]-crimenes_cordoba_ampliado[[#This Row],[Fecha Nac. Delincuente]])/365)</f>
        <v>54</v>
      </c>
      <c r="L915" s="7" t="str">
        <f>_xlfn.XLOOKUP(crimenes_cordoba_ampliado[[#This Row],[EDAD DELINCUENTE]],'Rango etareo'!$A$10:$A$25,'Rango etareo'!$B$10:$B$25,,-1)</f>
        <v>46 - 55</v>
      </c>
      <c r="M915" s="3" t="s">
        <v>22</v>
      </c>
      <c r="N915" s="3" t="str">
        <f>IF(crimenes_cordoba_ampliado[[#This Row],[Género Delincuente]]="Femenino","🚺","🚹")</f>
        <v>🚹</v>
      </c>
      <c r="O915">
        <v>3</v>
      </c>
      <c r="P915" s="1">
        <v>37068</v>
      </c>
      <c r="Q915" s="7">
        <f>INT((crimenes_cordoba_ampliado[[#This Row],[Fecha]]-crimenes_cordoba_ampliado[[#This Row],[Fecha Nac. Víctima]])/365)</f>
        <v>19</v>
      </c>
      <c r="R915" s="7" t="str">
        <f>_xlfn.XLOOKUP(crimenes_cordoba_ampliado[[#This Row],[EDAD VICTIMA]],'Rango etareo'!$A$2:$A$25,'Rango etareo'!$B$2:$B$25,,-1)</f>
        <v>18 - 25</v>
      </c>
      <c r="S915" s="3" t="s">
        <v>21</v>
      </c>
      <c r="T915" s="3" t="str">
        <f>IF(crimenes_cordoba_ampliado[[#This Row],[Género Víctima]]="Masculino","🚹","🚺")</f>
        <v>🚺</v>
      </c>
      <c r="U915">
        <v>1</v>
      </c>
      <c r="V915" s="3" t="s">
        <v>23</v>
      </c>
      <c r="W915" s="3" t="s">
        <v>24</v>
      </c>
      <c r="X915" s="3" t="s">
        <v>24</v>
      </c>
      <c r="Y915" s="3" t="s">
        <v>53</v>
      </c>
      <c r="Z915" s="3" t="s">
        <v>25</v>
      </c>
      <c r="AA915" s="3" t="s">
        <v>23</v>
      </c>
      <c r="AB915" s="3" t="str">
        <f>IF(crimenes_cordoba_ampliado[[#This Row],[Hubo Arresto]]="Sí", "Resuelto", "Pendiente")</f>
        <v>Resuelto</v>
      </c>
      <c r="AC915" s="3" t="s">
        <v>30</v>
      </c>
      <c r="AD915" s="3"/>
    </row>
    <row r="916" spans="1:30" x14ac:dyDescent="0.25">
      <c r="A916">
        <v>444</v>
      </c>
      <c r="B916" s="1">
        <v>45389</v>
      </c>
      <c r="C916" s="33">
        <f t="shared" si="28"/>
        <v>45389</v>
      </c>
      <c r="D916" s="34">
        <f t="shared" si="29"/>
        <v>45389</v>
      </c>
      <c r="E916" s="35" t="s">
        <v>1449</v>
      </c>
      <c r="F916" s="2">
        <v>0.65763888888888888</v>
      </c>
      <c r="G916" s="3" t="s">
        <v>45</v>
      </c>
      <c r="H916" s="3" t="s">
        <v>60</v>
      </c>
      <c r="I916" s="25" t="str">
        <f>VLOOKUP(H916,Tabla5[#All],4,FALSE)</f>
        <v>-31,4076397196409, -64,2020170430678</v>
      </c>
      <c r="J916" s="1">
        <v>19869</v>
      </c>
      <c r="K916" s="7">
        <f>INT((crimenes_cordoba_ampliado[[#This Row],[Fecha]]-crimenes_cordoba_ampliado[[#This Row],[Fecha Nac. Delincuente]])/365)</f>
        <v>69</v>
      </c>
      <c r="L916" s="7" t="str">
        <f>_xlfn.XLOOKUP(crimenes_cordoba_ampliado[[#This Row],[EDAD DELINCUENTE]],'Rango etareo'!$A$10:$A$25,'Rango etareo'!$B$10:$B$25,,-1)</f>
        <v>&gt;65</v>
      </c>
      <c r="M916" s="3" t="s">
        <v>21</v>
      </c>
      <c r="N916" s="3" t="str">
        <f>IF(crimenes_cordoba_ampliado[[#This Row],[Género Delincuente]]="Femenino","🚺","🚹")</f>
        <v>🚺</v>
      </c>
      <c r="O916">
        <v>3</v>
      </c>
      <c r="P916" s="1">
        <v>23170</v>
      </c>
      <c r="Q916" s="7">
        <f>INT((crimenes_cordoba_ampliado[[#This Row],[Fecha]]-crimenes_cordoba_ampliado[[#This Row],[Fecha Nac. Víctima]])/365)</f>
        <v>60</v>
      </c>
      <c r="R916" s="7" t="str">
        <f>_xlfn.XLOOKUP(crimenes_cordoba_ampliado[[#This Row],[EDAD VICTIMA]],'Rango etareo'!$A$2:$A$25,'Rango etareo'!$B$2:$B$25,,-1)</f>
        <v>56 - 65</v>
      </c>
      <c r="S916" s="3" t="s">
        <v>21</v>
      </c>
      <c r="T916" s="3" t="str">
        <f>IF(crimenes_cordoba_ampliado[[#This Row],[Género Víctima]]="Masculino","🚹","🚺")</f>
        <v>🚺</v>
      </c>
      <c r="U916">
        <v>2</v>
      </c>
      <c r="V916" s="3" t="s">
        <v>25</v>
      </c>
      <c r="W916" s="3" t="s">
        <v>24</v>
      </c>
      <c r="X916" s="3" t="s">
        <v>24</v>
      </c>
      <c r="Y916" s="3" t="s">
        <v>86</v>
      </c>
      <c r="Z916" s="3" t="s">
        <v>25</v>
      </c>
      <c r="AA916" s="3" t="s">
        <v>25</v>
      </c>
      <c r="AB916" s="3" t="str">
        <f>IF(crimenes_cordoba_ampliado[[#This Row],[Hubo Arresto]]="Sí", "Resuelto", "Pendiente")</f>
        <v>Pendiente</v>
      </c>
      <c r="AC916" s="3" t="s">
        <v>24</v>
      </c>
      <c r="AD916" s="3"/>
    </row>
    <row r="917" spans="1:30" x14ac:dyDescent="0.25">
      <c r="A917">
        <v>914</v>
      </c>
      <c r="B917" s="1">
        <v>43810</v>
      </c>
      <c r="C917" s="33">
        <f t="shared" si="28"/>
        <v>43810</v>
      </c>
      <c r="D917" s="34">
        <f t="shared" si="29"/>
        <v>43810</v>
      </c>
      <c r="E917" s="35" t="s">
        <v>1450</v>
      </c>
      <c r="F917" s="2">
        <v>0.72013888888888888</v>
      </c>
      <c r="G917" s="3" t="s">
        <v>31</v>
      </c>
      <c r="H917" s="3" t="s">
        <v>70</v>
      </c>
      <c r="I917" s="25" t="str">
        <f>VLOOKUP(H917,Tabla5[#All],4,FALSE)</f>
        <v>-31,3759272890294, -64,2284587792478</v>
      </c>
      <c r="J917" s="1">
        <v>18502</v>
      </c>
      <c r="K917" s="7">
        <f>INT((crimenes_cordoba_ampliado[[#This Row],[Fecha]]-crimenes_cordoba_ampliado[[#This Row],[Fecha Nac. Delincuente]])/365)</f>
        <v>69</v>
      </c>
      <c r="L917" s="7" t="str">
        <f>_xlfn.XLOOKUP(crimenes_cordoba_ampliado[[#This Row],[EDAD DELINCUENTE]],'Rango etareo'!$A$10:$A$25,'Rango etareo'!$B$10:$B$25,,-1)</f>
        <v>&gt;65</v>
      </c>
      <c r="M917" s="3" t="s">
        <v>21</v>
      </c>
      <c r="N917" s="3" t="str">
        <f>IF(crimenes_cordoba_ampliado[[#This Row],[Género Delincuente]]="Femenino","🚺","🚹")</f>
        <v>🚺</v>
      </c>
      <c r="O917">
        <v>5</v>
      </c>
      <c r="P917" s="1">
        <v>20013</v>
      </c>
      <c r="Q917" s="7">
        <f>INT((crimenes_cordoba_ampliado[[#This Row],[Fecha]]-crimenes_cordoba_ampliado[[#This Row],[Fecha Nac. Víctima]])/365)</f>
        <v>65</v>
      </c>
      <c r="R917" s="7" t="str">
        <f>_xlfn.XLOOKUP(crimenes_cordoba_ampliado[[#This Row],[EDAD VICTIMA]],'Rango etareo'!$A$2:$A$25,'Rango etareo'!$B$2:$B$25,,-1)</f>
        <v>&gt;65</v>
      </c>
      <c r="S917" s="3" t="s">
        <v>22</v>
      </c>
      <c r="T917" s="3" t="str">
        <f>IF(crimenes_cordoba_ampliado[[#This Row],[Género Víctima]]="Masculino","🚹","🚺")</f>
        <v>🚹</v>
      </c>
      <c r="U917">
        <v>1</v>
      </c>
      <c r="V917" s="3" t="s">
        <v>23</v>
      </c>
      <c r="W917" s="3" t="s">
        <v>24</v>
      </c>
      <c r="X917" s="3" t="s">
        <v>24</v>
      </c>
      <c r="Y917" s="3" t="s">
        <v>89</v>
      </c>
      <c r="Z917" s="3" t="s">
        <v>25</v>
      </c>
      <c r="AA917" s="3" t="s">
        <v>25</v>
      </c>
      <c r="AB917" s="3" t="str">
        <f>IF(crimenes_cordoba_ampliado[[#This Row],[Hubo Arresto]]="Sí", "Resuelto", "Pendiente")</f>
        <v>Resuelto</v>
      </c>
      <c r="AC917" s="3" t="s">
        <v>178</v>
      </c>
      <c r="AD917" s="3"/>
    </row>
    <row r="918" spans="1:30" x14ac:dyDescent="0.25">
      <c r="A918">
        <v>447</v>
      </c>
      <c r="B918" s="1">
        <v>45391</v>
      </c>
      <c r="C918" s="33">
        <f t="shared" si="28"/>
        <v>45391</v>
      </c>
      <c r="D918" s="34">
        <f t="shared" si="29"/>
        <v>45391</v>
      </c>
      <c r="E918" s="35" t="s">
        <v>1453</v>
      </c>
      <c r="F918" s="2">
        <v>0.91805555555555551</v>
      </c>
      <c r="G918" s="3" t="s">
        <v>31</v>
      </c>
      <c r="H918" s="3" t="s">
        <v>49</v>
      </c>
      <c r="I918" s="25" t="str">
        <f>VLOOKUP(H918,Tabla5[#All],4,FALSE)</f>
        <v>-31,4506257494184, -64,1733054344705</v>
      </c>
      <c r="J918" s="1">
        <v>19908</v>
      </c>
      <c r="K918" s="7">
        <f>INT((crimenes_cordoba_ampliado[[#This Row],[Fecha]]-crimenes_cordoba_ampliado[[#This Row],[Fecha Nac. Delincuente]])/365)</f>
        <v>69</v>
      </c>
      <c r="L918" s="7" t="str">
        <f>_xlfn.XLOOKUP(crimenes_cordoba_ampliado[[#This Row],[EDAD DELINCUENTE]],'Rango etareo'!$A$10:$A$25,'Rango etareo'!$B$10:$B$25,,-1)</f>
        <v>&gt;65</v>
      </c>
      <c r="M918" s="3" t="s">
        <v>22</v>
      </c>
      <c r="N918" s="3" t="str">
        <f>IF(crimenes_cordoba_ampliado[[#This Row],[Género Delincuente]]="Femenino","🚺","🚹")</f>
        <v>🚹</v>
      </c>
      <c r="O918">
        <v>5</v>
      </c>
      <c r="P918" s="1">
        <v>36050</v>
      </c>
      <c r="Q918" s="7">
        <f>INT((crimenes_cordoba_ampliado[[#This Row],[Fecha]]-crimenes_cordoba_ampliado[[#This Row],[Fecha Nac. Víctima]])/365)</f>
        <v>25</v>
      </c>
      <c r="R918" s="7" t="str">
        <f>_xlfn.XLOOKUP(crimenes_cordoba_ampliado[[#This Row],[EDAD VICTIMA]],'Rango etareo'!$A$2:$A$25,'Rango etareo'!$B$2:$B$25,,-1)</f>
        <v>18 - 25</v>
      </c>
      <c r="S918" s="3" t="s">
        <v>22</v>
      </c>
      <c r="T918" s="3" t="str">
        <f>IF(crimenes_cordoba_ampliado[[#This Row],[Género Víctima]]="Masculino","🚹","🚺")</f>
        <v>🚹</v>
      </c>
      <c r="U918">
        <v>3</v>
      </c>
      <c r="V918" s="3" t="s">
        <v>25</v>
      </c>
      <c r="W918" s="3" t="s">
        <v>83</v>
      </c>
      <c r="X918" s="3" t="s">
        <v>24</v>
      </c>
      <c r="Y918" s="3" t="s">
        <v>101</v>
      </c>
      <c r="Z918" s="3" t="s">
        <v>23</v>
      </c>
      <c r="AA918" s="3" t="s">
        <v>23</v>
      </c>
      <c r="AB918" s="3" t="str">
        <f>IF(crimenes_cordoba_ampliado[[#This Row],[Hubo Arresto]]="Sí", "Resuelto", "Pendiente")</f>
        <v>Pendiente</v>
      </c>
      <c r="AC918" s="3" t="s">
        <v>24</v>
      </c>
      <c r="AD918" s="3"/>
    </row>
    <row r="919" spans="1:30" x14ac:dyDescent="0.25">
      <c r="A919">
        <v>915</v>
      </c>
      <c r="B919" s="1">
        <v>45182</v>
      </c>
      <c r="C919" s="33">
        <f t="shared" si="28"/>
        <v>45182</v>
      </c>
      <c r="D919" s="34">
        <f t="shared" si="29"/>
        <v>45182</v>
      </c>
      <c r="E919" s="35" t="s">
        <v>1450</v>
      </c>
      <c r="F919" s="2">
        <v>0.76041666666666663</v>
      </c>
      <c r="G919" s="3" t="s">
        <v>31</v>
      </c>
      <c r="H919" s="3" t="s">
        <v>52</v>
      </c>
      <c r="I919" s="25" t="str">
        <f>VLOOKUP(H919,Tabla5[#All],4,FALSE)</f>
        <v>-31,3477902896523, -64,2644406169297</v>
      </c>
      <c r="J919" s="1">
        <v>35294</v>
      </c>
      <c r="K919" s="7">
        <f>INT((crimenes_cordoba_ampliado[[#This Row],[Fecha]]-crimenes_cordoba_ampliado[[#This Row],[Fecha Nac. Delincuente]])/365)</f>
        <v>27</v>
      </c>
      <c r="L919" s="7" t="str">
        <f>_xlfn.XLOOKUP(crimenes_cordoba_ampliado[[#This Row],[EDAD DELINCUENTE]],'Rango etareo'!$A$10:$A$25,'Rango etareo'!$B$10:$B$25,,-1)</f>
        <v>26 - 35</v>
      </c>
      <c r="M919" s="3" t="s">
        <v>21</v>
      </c>
      <c r="N919" s="3" t="str">
        <f>IF(crimenes_cordoba_ampliado[[#This Row],[Género Delincuente]]="Femenino","🚺","🚹")</f>
        <v>🚺</v>
      </c>
      <c r="O919">
        <v>2</v>
      </c>
      <c r="P919" s="1">
        <v>33466</v>
      </c>
      <c r="Q919" s="7">
        <f>INT((crimenes_cordoba_ampliado[[#This Row],[Fecha]]-crimenes_cordoba_ampliado[[#This Row],[Fecha Nac. Víctima]])/365)</f>
        <v>32</v>
      </c>
      <c r="R919" s="7" t="str">
        <f>_xlfn.XLOOKUP(crimenes_cordoba_ampliado[[#This Row],[EDAD VICTIMA]],'Rango etareo'!$A$2:$A$25,'Rango etareo'!$B$2:$B$25,,-1)</f>
        <v>26 - 35</v>
      </c>
      <c r="S919" s="3" t="s">
        <v>21</v>
      </c>
      <c r="T919" s="3" t="str">
        <f>IF(crimenes_cordoba_ampliado[[#This Row],[Género Víctima]]="Masculino","🚹","🚺")</f>
        <v>🚺</v>
      </c>
      <c r="U919">
        <v>1</v>
      </c>
      <c r="V919" s="3" t="s">
        <v>23</v>
      </c>
      <c r="W919" s="3" t="s">
        <v>24</v>
      </c>
      <c r="X919" s="3" t="s">
        <v>24</v>
      </c>
      <c r="Y919" s="3" t="s">
        <v>80</v>
      </c>
      <c r="Z919" s="3" t="s">
        <v>25</v>
      </c>
      <c r="AA919" s="3" t="s">
        <v>25</v>
      </c>
      <c r="AB919" s="3" t="str">
        <f>IF(crimenes_cordoba_ampliado[[#This Row],[Hubo Arresto]]="Sí", "Resuelto", "Pendiente")</f>
        <v>Resuelto</v>
      </c>
      <c r="AC919" s="3" t="s">
        <v>261</v>
      </c>
      <c r="AD919" s="3"/>
    </row>
    <row r="920" spans="1:30" x14ac:dyDescent="0.25">
      <c r="A920">
        <v>775</v>
      </c>
      <c r="B920" s="1">
        <v>45394</v>
      </c>
      <c r="C920" s="33">
        <f t="shared" si="28"/>
        <v>45394</v>
      </c>
      <c r="D920" s="34">
        <f t="shared" si="29"/>
        <v>45394</v>
      </c>
      <c r="E920" s="35" t="s">
        <v>1455</v>
      </c>
      <c r="F920" s="2">
        <v>0.81458333333333333</v>
      </c>
      <c r="G920" s="3" t="s">
        <v>54</v>
      </c>
      <c r="H920" s="3" t="s">
        <v>40</v>
      </c>
      <c r="I920" s="25" t="str">
        <f>VLOOKUP(H920,Tabla5[#All],4,FALSE)</f>
        <v>-31,334500143441, -64,2460773260564</v>
      </c>
      <c r="J920" s="1">
        <v>21976</v>
      </c>
      <c r="K920" s="7">
        <f>INT((crimenes_cordoba_ampliado[[#This Row],[Fecha]]-crimenes_cordoba_ampliado[[#This Row],[Fecha Nac. Delincuente]])/365)</f>
        <v>64</v>
      </c>
      <c r="L920" s="7" t="str">
        <f>_xlfn.XLOOKUP(crimenes_cordoba_ampliado[[#This Row],[EDAD DELINCUENTE]],'Rango etareo'!$A$10:$A$25,'Rango etareo'!$B$10:$B$25,,-1)</f>
        <v>56 - 65</v>
      </c>
      <c r="M920" s="3" t="s">
        <v>22</v>
      </c>
      <c r="N920" s="3" t="str">
        <f>IF(crimenes_cordoba_ampliado[[#This Row],[Género Delincuente]]="Femenino","🚺","🚹")</f>
        <v>🚹</v>
      </c>
      <c r="O920">
        <v>1</v>
      </c>
      <c r="P920" s="1">
        <v>34737</v>
      </c>
      <c r="Q920" s="7">
        <f>INT((crimenes_cordoba_ampliado[[#This Row],[Fecha]]-crimenes_cordoba_ampliado[[#This Row],[Fecha Nac. Víctima]])/365)</f>
        <v>29</v>
      </c>
      <c r="R920" s="7" t="str">
        <f>_xlfn.XLOOKUP(crimenes_cordoba_ampliado[[#This Row],[EDAD VICTIMA]],'Rango etareo'!$A$2:$A$25,'Rango etareo'!$B$2:$B$25,,-1)</f>
        <v>26 - 35</v>
      </c>
      <c r="S920" s="3" t="s">
        <v>21</v>
      </c>
      <c r="T920" s="3" t="str">
        <f>IF(crimenes_cordoba_ampliado[[#This Row],[Género Víctima]]="Masculino","🚹","🚺")</f>
        <v>🚺</v>
      </c>
      <c r="U920">
        <v>2</v>
      </c>
      <c r="V920" s="3" t="s">
        <v>25</v>
      </c>
      <c r="W920" s="3" t="s">
        <v>24</v>
      </c>
      <c r="X920" s="3" t="s">
        <v>24</v>
      </c>
      <c r="Y920" s="3" t="s">
        <v>24</v>
      </c>
      <c r="Z920" s="3" t="s">
        <v>25</v>
      </c>
      <c r="AA920" s="3" t="s">
        <v>25</v>
      </c>
      <c r="AB920" s="3" t="str">
        <f>IF(crimenes_cordoba_ampliado[[#This Row],[Hubo Arresto]]="Sí", "Resuelto", "Pendiente")</f>
        <v>Pendiente</v>
      </c>
      <c r="AC920" s="3" t="s">
        <v>24</v>
      </c>
      <c r="AD920" s="3"/>
    </row>
    <row r="921" spans="1:30" x14ac:dyDescent="0.25">
      <c r="A921">
        <v>749</v>
      </c>
      <c r="B921" s="1">
        <v>45395</v>
      </c>
      <c r="C921" s="33">
        <f t="shared" si="28"/>
        <v>45395</v>
      </c>
      <c r="D921" s="34">
        <f t="shared" si="29"/>
        <v>45395</v>
      </c>
      <c r="E921" s="35" t="s">
        <v>1451</v>
      </c>
      <c r="F921" s="2">
        <v>0.48958333333333331</v>
      </c>
      <c r="G921" s="3" t="s">
        <v>79</v>
      </c>
      <c r="H921" s="3" t="s">
        <v>40</v>
      </c>
      <c r="I921" s="25" t="str">
        <f>VLOOKUP(H921,Tabla5[#All],4,FALSE)</f>
        <v>-31,334500143441, -64,2460773260564</v>
      </c>
      <c r="J921" s="1">
        <v>24825</v>
      </c>
      <c r="K921" s="7">
        <f>INT((crimenes_cordoba_ampliado[[#This Row],[Fecha]]-crimenes_cordoba_ampliado[[#This Row],[Fecha Nac. Delincuente]])/365)</f>
        <v>56</v>
      </c>
      <c r="L921" s="7" t="str">
        <f>_xlfn.XLOOKUP(crimenes_cordoba_ampliado[[#This Row],[EDAD DELINCUENTE]],'Rango etareo'!$A$10:$A$25,'Rango etareo'!$B$10:$B$25,,-1)</f>
        <v>56 - 65</v>
      </c>
      <c r="M921" s="3" t="s">
        <v>21</v>
      </c>
      <c r="N921" s="3" t="str">
        <f>IF(crimenes_cordoba_ampliado[[#This Row],[Género Delincuente]]="Femenino","🚺","🚹")</f>
        <v>🚺</v>
      </c>
      <c r="O921">
        <v>4</v>
      </c>
      <c r="P921" s="1">
        <v>22998</v>
      </c>
      <c r="Q921" s="7">
        <f>INT((crimenes_cordoba_ampliado[[#This Row],[Fecha]]-crimenes_cordoba_ampliado[[#This Row],[Fecha Nac. Víctima]])/365)</f>
        <v>61</v>
      </c>
      <c r="R921" s="7" t="str">
        <f>_xlfn.XLOOKUP(crimenes_cordoba_ampliado[[#This Row],[EDAD VICTIMA]],'Rango etareo'!$A$2:$A$25,'Rango etareo'!$B$2:$B$25,,-1)</f>
        <v>56 - 65</v>
      </c>
      <c r="S921" s="3" t="s">
        <v>22</v>
      </c>
      <c r="T921" s="3" t="str">
        <f>IF(crimenes_cordoba_ampliado[[#This Row],[Género Víctima]]="Masculino","🚹","🚺")</f>
        <v>🚹</v>
      </c>
      <c r="U921">
        <v>2</v>
      </c>
      <c r="V921" s="3" t="s">
        <v>25</v>
      </c>
      <c r="W921" s="3" t="s">
        <v>24</v>
      </c>
      <c r="X921" s="3" t="s">
        <v>24</v>
      </c>
      <c r="Y921" s="3" t="s">
        <v>39</v>
      </c>
      <c r="Z921" s="3" t="s">
        <v>25</v>
      </c>
      <c r="AA921" s="3" t="s">
        <v>25</v>
      </c>
      <c r="AB921" s="3" t="str">
        <f>IF(crimenes_cordoba_ampliado[[#This Row],[Hubo Arresto]]="Sí", "Resuelto", "Pendiente")</f>
        <v>Pendiente</v>
      </c>
      <c r="AC921" s="3" t="s">
        <v>24</v>
      </c>
      <c r="AD921" s="3"/>
    </row>
    <row r="922" spans="1:30" x14ac:dyDescent="0.25">
      <c r="A922">
        <v>916</v>
      </c>
      <c r="B922" s="1">
        <v>42873</v>
      </c>
      <c r="C922" s="33">
        <f t="shared" si="28"/>
        <v>42873</v>
      </c>
      <c r="D922" s="34">
        <f t="shared" si="29"/>
        <v>42873</v>
      </c>
      <c r="E922" s="35" t="s">
        <v>1454</v>
      </c>
      <c r="F922" s="2">
        <v>0.54791666666666672</v>
      </c>
      <c r="G922" s="3" t="s">
        <v>48</v>
      </c>
      <c r="H922" s="3" t="s">
        <v>65</v>
      </c>
      <c r="I922" s="25" t="str">
        <f>VLOOKUP(H922,Tabla5[#All],4,FALSE)</f>
        <v>-31,4285567311661, -64,1853198281007</v>
      </c>
      <c r="J922" s="1">
        <v>22248</v>
      </c>
      <c r="K922" s="7">
        <f>INT((crimenes_cordoba_ampliado[[#This Row],[Fecha]]-crimenes_cordoba_ampliado[[#This Row],[Fecha Nac. Delincuente]])/365)</f>
        <v>56</v>
      </c>
      <c r="L922" s="7" t="str">
        <f>_xlfn.XLOOKUP(crimenes_cordoba_ampliado[[#This Row],[EDAD DELINCUENTE]],'Rango etareo'!$A$10:$A$25,'Rango etareo'!$B$10:$B$25,,-1)</f>
        <v>56 - 65</v>
      </c>
      <c r="M922" s="3" t="s">
        <v>21</v>
      </c>
      <c r="N922" s="3" t="str">
        <f>IF(crimenes_cordoba_ampliado[[#This Row],[Género Delincuente]]="Femenino","🚺","🚹")</f>
        <v>🚺</v>
      </c>
      <c r="O922">
        <v>2</v>
      </c>
      <c r="P922" s="1">
        <v>20462</v>
      </c>
      <c r="Q922" s="7">
        <f>INT((crimenes_cordoba_ampliado[[#This Row],[Fecha]]-crimenes_cordoba_ampliado[[#This Row],[Fecha Nac. Víctima]])/365)</f>
        <v>61</v>
      </c>
      <c r="R922" s="7" t="str">
        <f>_xlfn.XLOOKUP(crimenes_cordoba_ampliado[[#This Row],[EDAD VICTIMA]],'Rango etareo'!$A$2:$A$25,'Rango etareo'!$B$2:$B$25,,-1)</f>
        <v>56 - 65</v>
      </c>
      <c r="S922" s="3" t="s">
        <v>21</v>
      </c>
      <c r="T922" s="3" t="str">
        <f>IF(crimenes_cordoba_ampliado[[#This Row],[Género Víctima]]="Masculino","🚹","🚺")</f>
        <v>🚺</v>
      </c>
      <c r="U922">
        <v>3</v>
      </c>
      <c r="V922" s="3" t="s">
        <v>23</v>
      </c>
      <c r="W922" s="3" t="s">
        <v>24</v>
      </c>
      <c r="X922" s="3" t="s">
        <v>24</v>
      </c>
      <c r="Y922" s="3" t="s">
        <v>39</v>
      </c>
      <c r="Z922" s="3" t="s">
        <v>25</v>
      </c>
      <c r="AA922" s="3" t="s">
        <v>23</v>
      </c>
      <c r="AB922" s="3" t="str">
        <f>IF(crimenes_cordoba_ampliado[[#This Row],[Hubo Arresto]]="Sí", "Resuelto", "Pendiente")</f>
        <v>Resuelto</v>
      </c>
      <c r="AC922" s="3" t="s">
        <v>154</v>
      </c>
      <c r="AD922" s="3"/>
    </row>
    <row r="923" spans="1:30" x14ac:dyDescent="0.25">
      <c r="A923">
        <v>937</v>
      </c>
      <c r="B923" s="1">
        <v>45403</v>
      </c>
      <c r="C923" s="33">
        <f t="shared" si="28"/>
        <v>45403</v>
      </c>
      <c r="D923" s="34">
        <f t="shared" si="29"/>
        <v>45403</v>
      </c>
      <c r="E923" s="35" t="s">
        <v>1449</v>
      </c>
      <c r="F923" s="2">
        <v>0.31736111111111109</v>
      </c>
      <c r="G923" s="3" t="s">
        <v>81</v>
      </c>
      <c r="H923" s="3" t="s">
        <v>32</v>
      </c>
      <c r="I923" s="25" t="str">
        <f>VLOOKUP(H923,Tabla5[#All],4,FALSE)</f>
        <v>-31,4148488101991, -64,1793406489438</v>
      </c>
      <c r="J923" s="1">
        <v>38925</v>
      </c>
      <c r="K923" s="7">
        <f>INT((crimenes_cordoba_ampliado[[#This Row],[Fecha]]-crimenes_cordoba_ampliado[[#This Row],[Fecha Nac. Delincuente]])/365)</f>
        <v>17</v>
      </c>
      <c r="L923" s="7" t="str">
        <f>_xlfn.XLOOKUP(crimenes_cordoba_ampliado[[#This Row],[EDAD DELINCUENTE]],'Rango etareo'!$A$10:$A$25,'Rango etareo'!$B$10:$B$25,,-1)</f>
        <v>&lt;=17</v>
      </c>
      <c r="M923" s="3" t="s">
        <v>22</v>
      </c>
      <c r="N923" s="3" t="str">
        <f>IF(crimenes_cordoba_ampliado[[#This Row],[Género Delincuente]]="Femenino","🚺","🚹")</f>
        <v>🚹</v>
      </c>
      <c r="O923">
        <v>5</v>
      </c>
      <c r="P923" s="1">
        <v>29906</v>
      </c>
      <c r="Q923" s="7">
        <f>INT((crimenes_cordoba_ampliado[[#This Row],[Fecha]]-crimenes_cordoba_ampliado[[#This Row],[Fecha Nac. Víctima]])/365)</f>
        <v>42</v>
      </c>
      <c r="R923" s="7" t="str">
        <f>_xlfn.XLOOKUP(crimenes_cordoba_ampliado[[#This Row],[EDAD VICTIMA]],'Rango etareo'!$A$2:$A$25,'Rango etareo'!$B$2:$B$25,,-1)</f>
        <v>36 - 45</v>
      </c>
      <c r="S923" s="3" t="s">
        <v>21</v>
      </c>
      <c r="T923" s="3" t="str">
        <f>IF(crimenes_cordoba_ampliado[[#This Row],[Género Víctima]]="Masculino","🚹","🚺")</f>
        <v>🚺</v>
      </c>
      <c r="U923">
        <v>3</v>
      </c>
      <c r="V923" s="3" t="s">
        <v>25</v>
      </c>
      <c r="W923" s="3" t="s">
        <v>24</v>
      </c>
      <c r="X923" s="3" t="s">
        <v>24</v>
      </c>
      <c r="Y923" s="3" t="s">
        <v>106</v>
      </c>
      <c r="Z923" s="3" t="s">
        <v>25</v>
      </c>
      <c r="AA923" s="3" t="s">
        <v>23</v>
      </c>
      <c r="AB923" s="3" t="str">
        <f>IF(crimenes_cordoba_ampliado[[#This Row],[Hubo Arresto]]="Sí", "Resuelto", "Pendiente")</f>
        <v>Pendiente</v>
      </c>
      <c r="AC923" s="3" t="s">
        <v>24</v>
      </c>
      <c r="AD923" s="3"/>
    </row>
    <row r="924" spans="1:30" x14ac:dyDescent="0.25">
      <c r="A924">
        <v>625</v>
      </c>
      <c r="B924" s="1">
        <v>45406</v>
      </c>
      <c r="C924" s="33">
        <f t="shared" si="28"/>
        <v>45406</v>
      </c>
      <c r="D924" s="34">
        <f t="shared" si="29"/>
        <v>45406</v>
      </c>
      <c r="E924" s="35" t="s">
        <v>1450</v>
      </c>
      <c r="F924" s="2">
        <v>0.5</v>
      </c>
      <c r="G924" s="3" t="s">
        <v>48</v>
      </c>
      <c r="H924" s="3" t="s">
        <v>40</v>
      </c>
      <c r="I924" s="25" t="str">
        <f>VLOOKUP(H924,Tabla5[#All],4,FALSE)</f>
        <v>-31,334500143441, -64,2460773260564</v>
      </c>
      <c r="J924" s="1">
        <v>25316</v>
      </c>
      <c r="K924" s="7">
        <f>INT((crimenes_cordoba_ampliado[[#This Row],[Fecha]]-crimenes_cordoba_ampliado[[#This Row],[Fecha Nac. Delincuente]])/365)</f>
        <v>55</v>
      </c>
      <c r="L924" s="7" t="str">
        <f>_xlfn.XLOOKUP(crimenes_cordoba_ampliado[[#This Row],[EDAD DELINCUENTE]],'Rango etareo'!$A$10:$A$25,'Rango etareo'!$B$10:$B$25,,-1)</f>
        <v>46 - 55</v>
      </c>
      <c r="M924" s="3" t="s">
        <v>22</v>
      </c>
      <c r="N924" s="3" t="str">
        <f>IF(crimenes_cordoba_ampliado[[#This Row],[Género Delincuente]]="Femenino","🚺","🚹")</f>
        <v>🚹</v>
      </c>
      <c r="O924">
        <v>3</v>
      </c>
      <c r="P924" s="1">
        <v>23225</v>
      </c>
      <c r="Q924" s="7">
        <f>INT((crimenes_cordoba_ampliado[[#This Row],[Fecha]]-crimenes_cordoba_ampliado[[#This Row],[Fecha Nac. Víctima]])/365)</f>
        <v>60</v>
      </c>
      <c r="R924" s="7" t="str">
        <f>_xlfn.XLOOKUP(crimenes_cordoba_ampliado[[#This Row],[EDAD VICTIMA]],'Rango etareo'!$A$2:$A$25,'Rango etareo'!$B$2:$B$25,,-1)</f>
        <v>56 - 65</v>
      </c>
      <c r="S924" s="3" t="s">
        <v>21</v>
      </c>
      <c r="T924" s="3" t="str">
        <f>IF(crimenes_cordoba_ampliado[[#This Row],[Género Víctima]]="Masculino","🚹","🚺")</f>
        <v>🚺</v>
      </c>
      <c r="U924">
        <v>1</v>
      </c>
      <c r="V924" s="3" t="s">
        <v>25</v>
      </c>
      <c r="W924" s="3" t="s">
        <v>24</v>
      </c>
      <c r="X924" s="3" t="s">
        <v>41</v>
      </c>
      <c r="Y924" s="3" t="s">
        <v>24</v>
      </c>
      <c r="Z924" s="3" t="s">
        <v>23</v>
      </c>
      <c r="AA924" s="3" t="s">
        <v>23</v>
      </c>
      <c r="AB924" s="3" t="str">
        <f>IF(crimenes_cordoba_ampliado[[#This Row],[Hubo Arresto]]="Sí", "Resuelto", "Pendiente")</f>
        <v>Pendiente</v>
      </c>
      <c r="AC924" s="3" t="s">
        <v>24</v>
      </c>
      <c r="AD924" s="3"/>
    </row>
    <row r="925" spans="1:30" x14ac:dyDescent="0.25">
      <c r="A925">
        <v>918</v>
      </c>
      <c r="B925" s="1">
        <v>43566</v>
      </c>
      <c r="C925" s="33">
        <f t="shared" si="28"/>
        <v>43566</v>
      </c>
      <c r="D925" s="34">
        <f t="shared" si="29"/>
        <v>43566</v>
      </c>
      <c r="E925" s="35" t="s">
        <v>1454</v>
      </c>
      <c r="F925" s="2">
        <v>0.69027777777777777</v>
      </c>
      <c r="G925" s="3" t="s">
        <v>48</v>
      </c>
      <c r="H925" s="3" t="s">
        <v>70</v>
      </c>
      <c r="I925" s="25" t="str">
        <f>VLOOKUP(H925,Tabla5[#All],4,FALSE)</f>
        <v>-31,3759272890294, -64,2284587792478</v>
      </c>
      <c r="J925" s="1">
        <v>19606</v>
      </c>
      <c r="K925" s="7">
        <f>INT((crimenes_cordoba_ampliado[[#This Row],[Fecha]]-crimenes_cordoba_ampliado[[#This Row],[Fecha Nac. Delincuente]])/365)</f>
        <v>65</v>
      </c>
      <c r="L925" s="7" t="str">
        <f>_xlfn.XLOOKUP(crimenes_cordoba_ampliado[[#This Row],[EDAD DELINCUENTE]],'Rango etareo'!$A$10:$A$25,'Rango etareo'!$B$10:$B$25,,-1)</f>
        <v>&gt;65</v>
      </c>
      <c r="M925" s="3" t="s">
        <v>21</v>
      </c>
      <c r="N925" s="3" t="str">
        <f>IF(crimenes_cordoba_ampliado[[#This Row],[Género Delincuente]]="Femenino","🚺","🚹")</f>
        <v>🚺</v>
      </c>
      <c r="O925">
        <v>4</v>
      </c>
      <c r="P925" s="1">
        <v>26645</v>
      </c>
      <c r="Q925" s="7">
        <f>INT((crimenes_cordoba_ampliado[[#This Row],[Fecha]]-crimenes_cordoba_ampliado[[#This Row],[Fecha Nac. Víctima]])/365)</f>
        <v>46</v>
      </c>
      <c r="R925" s="7" t="str">
        <f>_xlfn.XLOOKUP(crimenes_cordoba_ampliado[[#This Row],[EDAD VICTIMA]],'Rango etareo'!$A$2:$A$25,'Rango etareo'!$B$2:$B$25,,-1)</f>
        <v>46 - 55</v>
      </c>
      <c r="S925" s="3" t="s">
        <v>21</v>
      </c>
      <c r="T925" s="3" t="str">
        <f>IF(crimenes_cordoba_ampliado[[#This Row],[Género Víctima]]="Masculino","🚹","🚺")</f>
        <v>🚺</v>
      </c>
      <c r="U925">
        <v>1</v>
      </c>
      <c r="V925" s="3" t="s">
        <v>23</v>
      </c>
      <c r="W925" s="3" t="s">
        <v>24</v>
      </c>
      <c r="X925" s="3" t="s">
        <v>24</v>
      </c>
      <c r="Y925" s="3" t="s">
        <v>24</v>
      </c>
      <c r="Z925" s="3" t="s">
        <v>25</v>
      </c>
      <c r="AA925" s="3" t="s">
        <v>23</v>
      </c>
      <c r="AB925" s="3" t="str">
        <f>IF(crimenes_cordoba_ampliado[[#This Row],[Hubo Arresto]]="Sí", "Resuelto", "Pendiente")</f>
        <v>Resuelto</v>
      </c>
      <c r="AC925" s="3" t="s">
        <v>230</v>
      </c>
      <c r="AD925" s="3"/>
    </row>
    <row r="926" spans="1:30" x14ac:dyDescent="0.25">
      <c r="A926">
        <v>920</v>
      </c>
      <c r="B926" s="1">
        <v>44089</v>
      </c>
      <c r="C926" s="33">
        <f t="shared" si="28"/>
        <v>44089</v>
      </c>
      <c r="D926" s="34">
        <f t="shared" si="29"/>
        <v>44089</v>
      </c>
      <c r="E926" s="35" t="s">
        <v>1453</v>
      </c>
      <c r="F926" s="2">
        <v>0.7319444444444444</v>
      </c>
      <c r="G926" s="3" t="s">
        <v>81</v>
      </c>
      <c r="H926" s="3" t="s">
        <v>65</v>
      </c>
      <c r="I926" s="25" t="str">
        <f>VLOOKUP(H926,Tabla5[#All],4,FALSE)</f>
        <v>-31,4285567311661, -64,1853198281007</v>
      </c>
      <c r="J926" s="1">
        <v>35108</v>
      </c>
      <c r="K926" s="7">
        <f>INT((crimenes_cordoba_ampliado[[#This Row],[Fecha]]-crimenes_cordoba_ampliado[[#This Row],[Fecha Nac. Delincuente]])/365)</f>
        <v>24</v>
      </c>
      <c r="L926" s="7" t="str">
        <f>_xlfn.XLOOKUP(crimenes_cordoba_ampliado[[#This Row],[EDAD DELINCUENTE]],'Rango etareo'!$A$10:$A$25,'Rango etareo'!$B$10:$B$25,,-1)</f>
        <v>18 - 25</v>
      </c>
      <c r="M926" s="3" t="s">
        <v>22</v>
      </c>
      <c r="N926" s="3" t="str">
        <f>IF(crimenes_cordoba_ampliado[[#This Row],[Género Delincuente]]="Femenino","🚺","🚹")</f>
        <v>🚹</v>
      </c>
      <c r="O926">
        <v>5</v>
      </c>
      <c r="P926" s="1">
        <v>41611</v>
      </c>
      <c r="Q926" s="7">
        <f>INT((crimenes_cordoba_ampliado[[#This Row],[Fecha]]-crimenes_cordoba_ampliado[[#This Row],[Fecha Nac. Víctima]])/365)</f>
        <v>6</v>
      </c>
      <c r="R926" s="7" t="str">
        <f>_xlfn.XLOOKUP(crimenes_cordoba_ampliado[[#This Row],[EDAD VICTIMA]],'Rango etareo'!$A$2:$A$25,'Rango etareo'!$B$2:$B$25,,-1)</f>
        <v>&lt;=17</v>
      </c>
      <c r="S926" s="3" t="s">
        <v>22</v>
      </c>
      <c r="T926" s="3" t="str">
        <f>IF(crimenes_cordoba_ampliado[[#This Row],[Género Víctima]]="Masculino","🚹","🚺")</f>
        <v>🚹</v>
      </c>
      <c r="U926">
        <v>2</v>
      </c>
      <c r="V926" s="3" t="s">
        <v>23</v>
      </c>
      <c r="W926" s="3" t="s">
        <v>24</v>
      </c>
      <c r="X926" s="3" t="s">
        <v>24</v>
      </c>
      <c r="Y926" s="3" t="s">
        <v>39</v>
      </c>
      <c r="Z926" s="3" t="s">
        <v>25</v>
      </c>
      <c r="AA926" s="3" t="s">
        <v>25</v>
      </c>
      <c r="AB926" s="3" t="str">
        <f>IF(crimenes_cordoba_ampliado[[#This Row],[Hubo Arresto]]="Sí", "Resuelto", "Pendiente")</f>
        <v>Resuelto</v>
      </c>
      <c r="AC926" s="3" t="s">
        <v>319</v>
      </c>
      <c r="AD926" s="3"/>
    </row>
    <row r="927" spans="1:30" x14ac:dyDescent="0.25">
      <c r="A927">
        <v>921</v>
      </c>
      <c r="B927" s="1">
        <v>43553</v>
      </c>
      <c r="C927" s="33">
        <f t="shared" si="28"/>
        <v>43553</v>
      </c>
      <c r="D927" s="34">
        <f t="shared" si="29"/>
        <v>43553</v>
      </c>
      <c r="E927" s="35" t="s">
        <v>1455</v>
      </c>
      <c r="F927" s="2">
        <v>0.9916666666666667</v>
      </c>
      <c r="G927" s="3" t="s">
        <v>19</v>
      </c>
      <c r="H927" s="3" t="s">
        <v>28</v>
      </c>
      <c r="I927" s="25" t="str">
        <f>VLOOKUP(H927,Tabla5[#All],4,FALSE)</f>
        <v>-31,4129883640337, -64,1681120522587</v>
      </c>
      <c r="J927" s="1">
        <v>21702</v>
      </c>
      <c r="K927" s="7">
        <f>INT((crimenes_cordoba_ampliado[[#This Row],[Fecha]]-crimenes_cordoba_ampliado[[#This Row],[Fecha Nac. Delincuente]])/365)</f>
        <v>59</v>
      </c>
      <c r="L927" s="7" t="str">
        <f>_xlfn.XLOOKUP(crimenes_cordoba_ampliado[[#This Row],[EDAD DELINCUENTE]],'Rango etareo'!$A$10:$A$25,'Rango etareo'!$B$10:$B$25,,-1)</f>
        <v>56 - 65</v>
      </c>
      <c r="M927" s="3" t="s">
        <v>21</v>
      </c>
      <c r="N927" s="3" t="str">
        <f>IF(crimenes_cordoba_ampliado[[#This Row],[Género Delincuente]]="Femenino","🚺","🚹")</f>
        <v>🚺</v>
      </c>
      <c r="O927">
        <v>2</v>
      </c>
      <c r="P927" s="1">
        <v>19039</v>
      </c>
      <c r="Q927" s="7">
        <f>INT((crimenes_cordoba_ampliado[[#This Row],[Fecha]]-crimenes_cordoba_ampliado[[#This Row],[Fecha Nac. Víctima]])/365)</f>
        <v>67</v>
      </c>
      <c r="R927" s="7" t="str">
        <f>_xlfn.XLOOKUP(crimenes_cordoba_ampliado[[#This Row],[EDAD VICTIMA]],'Rango etareo'!$A$2:$A$25,'Rango etareo'!$B$2:$B$25,,-1)</f>
        <v>&gt;65</v>
      </c>
      <c r="S927" s="3" t="s">
        <v>22</v>
      </c>
      <c r="T927" s="3" t="str">
        <f>IF(crimenes_cordoba_ampliado[[#This Row],[Género Víctima]]="Masculino","🚹","🚺")</f>
        <v>🚹</v>
      </c>
      <c r="U927">
        <v>3</v>
      </c>
      <c r="V927" s="3" t="s">
        <v>23</v>
      </c>
      <c r="W927" s="3" t="s">
        <v>24</v>
      </c>
      <c r="X927" s="3" t="s">
        <v>24</v>
      </c>
      <c r="Y927" s="3" t="s">
        <v>33</v>
      </c>
      <c r="Z927" s="3" t="s">
        <v>25</v>
      </c>
      <c r="AA927" s="3" t="s">
        <v>25</v>
      </c>
      <c r="AB927" s="3" t="str">
        <f>IF(crimenes_cordoba_ampliado[[#This Row],[Hubo Arresto]]="Sí", "Resuelto", "Pendiente")</f>
        <v>Resuelto</v>
      </c>
      <c r="AC927" s="3" t="s">
        <v>320</v>
      </c>
      <c r="AD927" s="3"/>
    </row>
    <row r="928" spans="1:30" x14ac:dyDescent="0.25">
      <c r="A928">
        <v>922</v>
      </c>
      <c r="B928" s="1">
        <v>44426</v>
      </c>
      <c r="C928" s="33">
        <f t="shared" si="28"/>
        <v>44426</v>
      </c>
      <c r="D928" s="34">
        <f t="shared" si="29"/>
        <v>44426</v>
      </c>
      <c r="E928" s="35" t="s">
        <v>1450</v>
      </c>
      <c r="F928" s="2">
        <v>0.89861111111111114</v>
      </c>
      <c r="G928" s="3" t="s">
        <v>81</v>
      </c>
      <c r="H928" s="3" t="s">
        <v>20</v>
      </c>
      <c r="I928" s="25" t="str">
        <f>VLOOKUP(H928,Tabla5[#All],4,FALSE)</f>
        <v>-31,4800162965848, -64,2094200976892</v>
      </c>
      <c r="J928" s="1">
        <v>26033</v>
      </c>
      <c r="K928" s="7">
        <f>INT((crimenes_cordoba_ampliado[[#This Row],[Fecha]]-crimenes_cordoba_ampliado[[#This Row],[Fecha Nac. Delincuente]])/365)</f>
        <v>50</v>
      </c>
      <c r="L928" s="7" t="str">
        <f>_xlfn.XLOOKUP(crimenes_cordoba_ampliado[[#This Row],[EDAD DELINCUENTE]],'Rango etareo'!$A$10:$A$25,'Rango etareo'!$B$10:$B$25,,-1)</f>
        <v>46 - 55</v>
      </c>
      <c r="M928" s="3" t="s">
        <v>21</v>
      </c>
      <c r="N928" s="3" t="str">
        <f>IF(crimenes_cordoba_ampliado[[#This Row],[Género Delincuente]]="Femenino","🚺","🚹")</f>
        <v>🚺</v>
      </c>
      <c r="O928">
        <v>5</v>
      </c>
      <c r="P928" s="1">
        <v>36467</v>
      </c>
      <c r="Q928" s="7">
        <f>INT((crimenes_cordoba_ampliado[[#This Row],[Fecha]]-crimenes_cordoba_ampliado[[#This Row],[Fecha Nac. Víctima]])/365)</f>
        <v>21</v>
      </c>
      <c r="R928" s="7" t="str">
        <f>_xlfn.XLOOKUP(crimenes_cordoba_ampliado[[#This Row],[EDAD VICTIMA]],'Rango etareo'!$A$2:$A$25,'Rango etareo'!$B$2:$B$25,,-1)</f>
        <v>18 - 25</v>
      </c>
      <c r="S928" s="3" t="s">
        <v>22</v>
      </c>
      <c r="T928" s="3" t="str">
        <f>IF(crimenes_cordoba_ampliado[[#This Row],[Género Víctima]]="Masculino","🚹","🚺")</f>
        <v>🚹</v>
      </c>
      <c r="U928">
        <v>3</v>
      </c>
      <c r="V928" s="3" t="s">
        <v>23</v>
      </c>
      <c r="W928" s="3" t="s">
        <v>24</v>
      </c>
      <c r="X928" s="3" t="s">
        <v>24</v>
      </c>
      <c r="Y928" s="3" t="s">
        <v>53</v>
      </c>
      <c r="Z928" s="3" t="s">
        <v>25</v>
      </c>
      <c r="AA928" s="3" t="s">
        <v>25</v>
      </c>
      <c r="AB928" s="3" t="str">
        <f>IF(crimenes_cordoba_ampliado[[#This Row],[Hubo Arresto]]="Sí", "Resuelto", "Pendiente")</f>
        <v>Resuelto</v>
      </c>
      <c r="AC928" s="3" t="s">
        <v>191</v>
      </c>
      <c r="AD928" s="3"/>
    </row>
    <row r="929" spans="1:30" x14ac:dyDescent="0.25">
      <c r="A929">
        <v>925</v>
      </c>
      <c r="B929" s="1">
        <v>42914</v>
      </c>
      <c r="C929" s="33">
        <f t="shared" si="28"/>
        <v>42914</v>
      </c>
      <c r="D929" s="34">
        <f t="shared" si="29"/>
        <v>42914</v>
      </c>
      <c r="E929" s="35" t="s">
        <v>1450</v>
      </c>
      <c r="F929" s="2">
        <v>0.97569444444444442</v>
      </c>
      <c r="G929" s="3" t="s">
        <v>81</v>
      </c>
      <c r="H929" s="3" t="s">
        <v>65</v>
      </c>
      <c r="I929" s="25" t="str">
        <f>VLOOKUP(H929,Tabla5[#All],4,FALSE)</f>
        <v>-31,4285567311661, -64,1853198281007</v>
      </c>
      <c r="J929" s="1">
        <v>34091</v>
      </c>
      <c r="K929" s="7">
        <f>INT((crimenes_cordoba_ampliado[[#This Row],[Fecha]]-crimenes_cordoba_ampliado[[#This Row],[Fecha Nac. Delincuente]])/365)</f>
        <v>24</v>
      </c>
      <c r="L929" s="7" t="str">
        <f>_xlfn.XLOOKUP(crimenes_cordoba_ampliado[[#This Row],[EDAD DELINCUENTE]],'Rango etareo'!$A$10:$A$25,'Rango etareo'!$B$10:$B$25,,-1)</f>
        <v>18 - 25</v>
      </c>
      <c r="M929" s="3" t="s">
        <v>22</v>
      </c>
      <c r="N929" s="3" t="str">
        <f>IF(crimenes_cordoba_ampliado[[#This Row],[Género Delincuente]]="Femenino","🚺","🚹")</f>
        <v>🚹</v>
      </c>
      <c r="O929">
        <v>1</v>
      </c>
      <c r="P929" s="1">
        <v>39971</v>
      </c>
      <c r="Q929" s="7">
        <f>INT((crimenes_cordoba_ampliado[[#This Row],[Fecha]]-crimenes_cordoba_ampliado[[#This Row],[Fecha Nac. Víctima]])/365)</f>
        <v>8</v>
      </c>
      <c r="R929" s="7" t="str">
        <f>_xlfn.XLOOKUP(crimenes_cordoba_ampliado[[#This Row],[EDAD VICTIMA]],'Rango etareo'!$A$2:$A$25,'Rango etareo'!$B$2:$B$25,,-1)</f>
        <v>&lt;=17</v>
      </c>
      <c r="S929" s="3" t="s">
        <v>22</v>
      </c>
      <c r="T929" s="3" t="str">
        <f>IF(crimenes_cordoba_ampliado[[#This Row],[Género Víctima]]="Masculino","🚹","🚺")</f>
        <v>🚹</v>
      </c>
      <c r="U929">
        <v>3</v>
      </c>
      <c r="V929" s="3" t="s">
        <v>23</v>
      </c>
      <c r="W929" s="3" t="s">
        <v>36</v>
      </c>
      <c r="X929" s="3" t="s">
        <v>41</v>
      </c>
      <c r="Y929" s="3" t="s">
        <v>24</v>
      </c>
      <c r="Z929" s="3" t="s">
        <v>23</v>
      </c>
      <c r="AA929" s="3" t="s">
        <v>23</v>
      </c>
      <c r="AB929" s="3" t="str">
        <f>IF(crimenes_cordoba_ampliado[[#This Row],[Hubo Arresto]]="Sí", "Resuelto", "Pendiente")</f>
        <v>Resuelto</v>
      </c>
      <c r="AC929" s="3" t="s">
        <v>258</v>
      </c>
      <c r="AD929" s="3"/>
    </row>
    <row r="930" spans="1:30" x14ac:dyDescent="0.25">
      <c r="A930">
        <v>926</v>
      </c>
      <c r="B930" s="1">
        <v>43028</v>
      </c>
      <c r="C930" s="33">
        <f t="shared" si="28"/>
        <v>43028</v>
      </c>
      <c r="D930" s="34">
        <f t="shared" si="29"/>
        <v>43028</v>
      </c>
      <c r="E930" s="35" t="s">
        <v>1455</v>
      </c>
      <c r="F930" s="2">
        <v>0.79027777777777775</v>
      </c>
      <c r="G930" s="3" t="s">
        <v>38</v>
      </c>
      <c r="H930" s="3" t="s">
        <v>49</v>
      </c>
      <c r="I930" s="25" t="str">
        <f>VLOOKUP(H930,Tabla5[#All],4,FALSE)</f>
        <v>-31,4506257494184, -64,1733054344705</v>
      </c>
      <c r="J930" s="1">
        <v>31543</v>
      </c>
      <c r="K930" s="7">
        <f>INT((crimenes_cordoba_ampliado[[#This Row],[Fecha]]-crimenes_cordoba_ampliado[[#This Row],[Fecha Nac. Delincuente]])/365)</f>
        <v>31</v>
      </c>
      <c r="L930" s="7" t="str">
        <f>_xlfn.XLOOKUP(crimenes_cordoba_ampliado[[#This Row],[EDAD DELINCUENTE]],'Rango etareo'!$A$10:$A$25,'Rango etareo'!$B$10:$B$25,,-1)</f>
        <v>26 - 35</v>
      </c>
      <c r="M930" s="3" t="s">
        <v>21</v>
      </c>
      <c r="N930" s="3" t="str">
        <f>IF(crimenes_cordoba_ampliado[[#This Row],[Género Delincuente]]="Femenino","🚺","🚹")</f>
        <v>🚺</v>
      </c>
      <c r="O930">
        <v>2</v>
      </c>
      <c r="P930" s="1">
        <v>20745</v>
      </c>
      <c r="Q930" s="7">
        <f>INT((crimenes_cordoba_ampliado[[#This Row],[Fecha]]-crimenes_cordoba_ampliado[[#This Row],[Fecha Nac. Víctima]])/365)</f>
        <v>61</v>
      </c>
      <c r="R930" s="7" t="str">
        <f>_xlfn.XLOOKUP(crimenes_cordoba_ampliado[[#This Row],[EDAD VICTIMA]],'Rango etareo'!$A$2:$A$25,'Rango etareo'!$B$2:$B$25,,-1)</f>
        <v>56 - 65</v>
      </c>
      <c r="S930" s="3" t="s">
        <v>22</v>
      </c>
      <c r="T930" s="3" t="str">
        <f>IF(crimenes_cordoba_ampliado[[#This Row],[Género Víctima]]="Masculino","🚹","🚺")</f>
        <v>🚹</v>
      </c>
      <c r="U930">
        <v>3</v>
      </c>
      <c r="V930" s="3" t="s">
        <v>23</v>
      </c>
      <c r="W930" s="3" t="s">
        <v>24</v>
      </c>
      <c r="X930" s="3" t="s">
        <v>24</v>
      </c>
      <c r="Y930" s="3" t="s">
        <v>98</v>
      </c>
      <c r="Z930" s="3" t="s">
        <v>23</v>
      </c>
      <c r="AA930" s="3" t="s">
        <v>25</v>
      </c>
      <c r="AB930" s="3" t="str">
        <f>IF(crimenes_cordoba_ampliado[[#This Row],[Hubo Arresto]]="Sí", "Resuelto", "Pendiente")</f>
        <v>Resuelto</v>
      </c>
      <c r="AC930" s="3" t="s">
        <v>153</v>
      </c>
      <c r="AD930" s="3"/>
    </row>
    <row r="931" spans="1:30" x14ac:dyDescent="0.25">
      <c r="A931">
        <v>583</v>
      </c>
      <c r="B931" s="1">
        <v>45427</v>
      </c>
      <c r="C931" s="33">
        <f t="shared" si="28"/>
        <v>45427</v>
      </c>
      <c r="D931" s="34">
        <f t="shared" si="29"/>
        <v>45427</v>
      </c>
      <c r="E931" s="35" t="s">
        <v>1450</v>
      </c>
      <c r="F931" s="2">
        <v>0.29791666666666666</v>
      </c>
      <c r="G931" s="3" t="s">
        <v>35</v>
      </c>
      <c r="H931" s="3" t="s">
        <v>20</v>
      </c>
      <c r="I931" s="25" t="str">
        <f>VLOOKUP(H931,Tabla5[#All],4,FALSE)</f>
        <v>-31,4800162965848, -64,2094200976892</v>
      </c>
      <c r="J931" s="1">
        <v>34581</v>
      </c>
      <c r="K931" s="7">
        <f>INT((crimenes_cordoba_ampliado[[#This Row],[Fecha]]-crimenes_cordoba_ampliado[[#This Row],[Fecha Nac. Delincuente]])/365)</f>
        <v>29</v>
      </c>
      <c r="L931" s="7" t="str">
        <f>_xlfn.XLOOKUP(crimenes_cordoba_ampliado[[#This Row],[EDAD DELINCUENTE]],'Rango etareo'!$A$10:$A$25,'Rango etareo'!$B$10:$B$25,,-1)</f>
        <v>26 - 35</v>
      </c>
      <c r="M931" s="3" t="s">
        <v>21</v>
      </c>
      <c r="N931" s="3" t="str">
        <f>IF(crimenes_cordoba_ampliado[[#This Row],[Género Delincuente]]="Femenino","🚺","🚹")</f>
        <v>🚺</v>
      </c>
      <c r="O931">
        <v>2</v>
      </c>
      <c r="P931" s="1">
        <v>20513</v>
      </c>
      <c r="Q931" s="7">
        <f>INT((crimenes_cordoba_ampliado[[#This Row],[Fecha]]-crimenes_cordoba_ampliado[[#This Row],[Fecha Nac. Víctima]])/365)</f>
        <v>68</v>
      </c>
      <c r="R931" s="7" t="str">
        <f>_xlfn.XLOOKUP(crimenes_cordoba_ampliado[[#This Row],[EDAD VICTIMA]],'Rango etareo'!$A$2:$A$25,'Rango etareo'!$B$2:$B$25,,-1)</f>
        <v>&gt;65</v>
      </c>
      <c r="S931" s="3" t="s">
        <v>22</v>
      </c>
      <c r="T931" s="3" t="str">
        <f>IF(crimenes_cordoba_ampliado[[#This Row],[Género Víctima]]="Masculino","🚹","🚺")</f>
        <v>🚹</v>
      </c>
      <c r="U931">
        <v>3</v>
      </c>
      <c r="V931" s="3" t="s">
        <v>25</v>
      </c>
      <c r="W931" s="3" t="s">
        <v>24</v>
      </c>
      <c r="X931" s="3" t="s">
        <v>24</v>
      </c>
      <c r="Y931" s="3" t="s">
        <v>46</v>
      </c>
      <c r="Z931" s="3" t="s">
        <v>23</v>
      </c>
      <c r="AA931" s="3" t="s">
        <v>25</v>
      </c>
      <c r="AB931" s="3" t="str">
        <f>IF(crimenes_cordoba_ampliado[[#This Row],[Hubo Arresto]]="Sí", "Resuelto", "Pendiente")</f>
        <v>Pendiente</v>
      </c>
      <c r="AC931" s="3" t="s">
        <v>24</v>
      </c>
      <c r="AD931" s="3"/>
    </row>
    <row r="932" spans="1:30" x14ac:dyDescent="0.25">
      <c r="A932">
        <v>928</v>
      </c>
      <c r="B932" s="1">
        <v>45636</v>
      </c>
      <c r="C932" s="33">
        <f t="shared" si="28"/>
        <v>45636</v>
      </c>
      <c r="D932" s="34">
        <f t="shared" si="29"/>
        <v>45636</v>
      </c>
      <c r="E932" s="35" t="s">
        <v>1453</v>
      </c>
      <c r="F932" s="2">
        <v>0.58333333333333337</v>
      </c>
      <c r="G932" s="3" t="s">
        <v>81</v>
      </c>
      <c r="H932" s="3" t="s">
        <v>40</v>
      </c>
      <c r="I932" s="25" t="str">
        <f>VLOOKUP(H932,Tabla5[#All],4,FALSE)</f>
        <v>-31,334500143441, -64,2460773260564</v>
      </c>
      <c r="J932" s="1">
        <v>33456</v>
      </c>
      <c r="K932" s="7">
        <f>INT((crimenes_cordoba_ampliado[[#This Row],[Fecha]]-crimenes_cordoba_ampliado[[#This Row],[Fecha Nac. Delincuente]])/365)</f>
        <v>33</v>
      </c>
      <c r="L932" s="7" t="str">
        <f>_xlfn.XLOOKUP(crimenes_cordoba_ampliado[[#This Row],[EDAD DELINCUENTE]],'Rango etareo'!$A$10:$A$25,'Rango etareo'!$B$10:$B$25,,-1)</f>
        <v>26 - 35</v>
      </c>
      <c r="M932" s="3" t="s">
        <v>22</v>
      </c>
      <c r="N932" s="3" t="str">
        <f>IF(crimenes_cordoba_ampliado[[#This Row],[Género Delincuente]]="Femenino","🚺","🚹")</f>
        <v>🚹</v>
      </c>
      <c r="O932">
        <v>3</v>
      </c>
      <c r="P932" s="1">
        <v>31682</v>
      </c>
      <c r="Q932" s="7">
        <f>INT((crimenes_cordoba_ampliado[[#This Row],[Fecha]]-crimenes_cordoba_ampliado[[#This Row],[Fecha Nac. Víctima]])/365)</f>
        <v>38</v>
      </c>
      <c r="R932" s="7" t="str">
        <f>_xlfn.XLOOKUP(crimenes_cordoba_ampliado[[#This Row],[EDAD VICTIMA]],'Rango etareo'!$A$2:$A$25,'Rango etareo'!$B$2:$B$25,,-1)</f>
        <v>36 - 45</v>
      </c>
      <c r="S932" s="3" t="s">
        <v>22</v>
      </c>
      <c r="T932" s="3" t="str">
        <f>IF(crimenes_cordoba_ampliado[[#This Row],[Género Víctima]]="Masculino","🚹","🚺")</f>
        <v>🚹</v>
      </c>
      <c r="U932">
        <v>3</v>
      </c>
      <c r="V932" s="3" t="s">
        <v>23</v>
      </c>
      <c r="W932" s="3" t="s">
        <v>24</v>
      </c>
      <c r="X932" s="3" t="s">
        <v>24</v>
      </c>
      <c r="Y932" s="3" t="s">
        <v>56</v>
      </c>
      <c r="Z932" s="3" t="s">
        <v>25</v>
      </c>
      <c r="AA932" s="3" t="s">
        <v>25</v>
      </c>
      <c r="AB932" s="3" t="str">
        <f>IF(crimenes_cordoba_ampliado[[#This Row],[Hubo Arresto]]="Sí", "Resuelto", "Pendiente")</f>
        <v>Resuelto</v>
      </c>
      <c r="AC932" s="3" t="s">
        <v>201</v>
      </c>
      <c r="AD932" s="3"/>
    </row>
    <row r="933" spans="1:30" x14ac:dyDescent="0.25">
      <c r="A933">
        <v>929</v>
      </c>
      <c r="B933" s="1">
        <v>44595</v>
      </c>
      <c r="C933" s="33">
        <f t="shared" si="28"/>
        <v>44595</v>
      </c>
      <c r="D933" s="34">
        <f t="shared" si="29"/>
        <v>44595</v>
      </c>
      <c r="E933" s="35" t="s">
        <v>1454</v>
      </c>
      <c r="F933" s="2">
        <v>0.1361111111111111</v>
      </c>
      <c r="G933" s="3" t="s">
        <v>19</v>
      </c>
      <c r="H933" s="3" t="s">
        <v>62</v>
      </c>
      <c r="I933" s="25" t="str">
        <f>VLOOKUP(H933,Tabla5[#All],4,FALSE)</f>
        <v>-31,3909520937826, -64,1836424491715</v>
      </c>
      <c r="J933" s="1">
        <v>29028</v>
      </c>
      <c r="K933" s="7">
        <f>INT((crimenes_cordoba_ampliado[[#This Row],[Fecha]]-crimenes_cordoba_ampliado[[#This Row],[Fecha Nac. Delincuente]])/365)</f>
        <v>42</v>
      </c>
      <c r="L933" s="7" t="str">
        <f>_xlfn.XLOOKUP(crimenes_cordoba_ampliado[[#This Row],[EDAD DELINCUENTE]],'Rango etareo'!$A$10:$A$25,'Rango etareo'!$B$10:$B$25,,-1)</f>
        <v>36 - 45</v>
      </c>
      <c r="M933" s="3" t="s">
        <v>22</v>
      </c>
      <c r="N933" s="3" t="str">
        <f>IF(crimenes_cordoba_ampliado[[#This Row],[Género Delincuente]]="Femenino","🚺","🚹")</f>
        <v>🚹</v>
      </c>
      <c r="O933">
        <v>3</v>
      </c>
      <c r="P933" s="1">
        <v>37672</v>
      </c>
      <c r="Q933" s="7">
        <f>INT((crimenes_cordoba_ampliado[[#This Row],[Fecha]]-crimenes_cordoba_ampliado[[#This Row],[Fecha Nac. Víctima]])/365)</f>
        <v>18</v>
      </c>
      <c r="R933" s="7" t="str">
        <f>_xlfn.XLOOKUP(crimenes_cordoba_ampliado[[#This Row],[EDAD VICTIMA]],'Rango etareo'!$A$2:$A$25,'Rango etareo'!$B$2:$B$25,,-1)</f>
        <v>18 - 25</v>
      </c>
      <c r="S933" s="3" t="s">
        <v>21</v>
      </c>
      <c r="T933" s="3" t="str">
        <f>IF(crimenes_cordoba_ampliado[[#This Row],[Género Víctima]]="Masculino","🚹","🚺")</f>
        <v>🚺</v>
      </c>
      <c r="U933">
        <v>3</v>
      </c>
      <c r="V933" s="3" t="s">
        <v>23</v>
      </c>
      <c r="W933" s="3" t="s">
        <v>24</v>
      </c>
      <c r="X933" s="3" t="s">
        <v>29</v>
      </c>
      <c r="Y933" s="3" t="s">
        <v>24</v>
      </c>
      <c r="Z933" s="3" t="s">
        <v>25</v>
      </c>
      <c r="AA933" s="3" t="s">
        <v>25</v>
      </c>
      <c r="AB933" s="3" t="str">
        <f>IF(crimenes_cordoba_ampliado[[#This Row],[Hubo Arresto]]="Sí", "Resuelto", "Pendiente")</f>
        <v>Resuelto</v>
      </c>
      <c r="AC933" s="3" t="s">
        <v>321</v>
      </c>
      <c r="AD933" s="3"/>
    </row>
    <row r="934" spans="1:30" x14ac:dyDescent="0.25">
      <c r="A934">
        <v>932</v>
      </c>
      <c r="B934" s="1">
        <v>45238</v>
      </c>
      <c r="C934" s="33">
        <f t="shared" si="28"/>
        <v>45238</v>
      </c>
      <c r="D934" s="34">
        <f t="shared" si="29"/>
        <v>45238</v>
      </c>
      <c r="E934" s="35" t="s">
        <v>1450</v>
      </c>
      <c r="F934" s="2">
        <v>0.49375000000000002</v>
      </c>
      <c r="G934" s="3" t="s">
        <v>42</v>
      </c>
      <c r="H934" s="3" t="s">
        <v>40</v>
      </c>
      <c r="I934" s="25" t="str">
        <f>VLOOKUP(H934,Tabla5[#All],4,FALSE)</f>
        <v>-31,334500143441, -64,2460773260564</v>
      </c>
      <c r="J934" s="1">
        <v>38394</v>
      </c>
      <c r="K934" s="7">
        <f>INT((crimenes_cordoba_ampliado[[#This Row],[Fecha]]-crimenes_cordoba_ampliado[[#This Row],[Fecha Nac. Delincuente]])/365)</f>
        <v>18</v>
      </c>
      <c r="L934" s="7" t="str">
        <f>_xlfn.XLOOKUP(crimenes_cordoba_ampliado[[#This Row],[EDAD DELINCUENTE]],'Rango etareo'!$A$10:$A$25,'Rango etareo'!$B$10:$B$25,,-1)</f>
        <v>18 - 25</v>
      </c>
      <c r="M934" s="3" t="s">
        <v>21</v>
      </c>
      <c r="N934" s="3" t="str">
        <f>IF(crimenes_cordoba_ampliado[[#This Row],[Género Delincuente]]="Femenino","🚺","🚹")</f>
        <v>🚺</v>
      </c>
      <c r="O934">
        <v>5</v>
      </c>
      <c r="P934" s="1">
        <v>30460</v>
      </c>
      <c r="Q934" s="7">
        <f>INT((crimenes_cordoba_ampliado[[#This Row],[Fecha]]-crimenes_cordoba_ampliado[[#This Row],[Fecha Nac. Víctima]])/365)</f>
        <v>40</v>
      </c>
      <c r="R934" s="7" t="str">
        <f>_xlfn.XLOOKUP(crimenes_cordoba_ampliado[[#This Row],[EDAD VICTIMA]],'Rango etareo'!$A$2:$A$25,'Rango etareo'!$B$2:$B$25,,-1)</f>
        <v>36 - 45</v>
      </c>
      <c r="S934" s="3" t="s">
        <v>22</v>
      </c>
      <c r="T934" s="3" t="str">
        <f>IF(crimenes_cordoba_ampliado[[#This Row],[Género Víctima]]="Masculino","🚹","🚺")</f>
        <v>🚹</v>
      </c>
      <c r="U934">
        <v>3</v>
      </c>
      <c r="V934" s="3" t="s">
        <v>23</v>
      </c>
      <c r="W934" s="3" t="s">
        <v>24</v>
      </c>
      <c r="X934" s="3" t="s">
        <v>24</v>
      </c>
      <c r="Y934" s="3" t="s">
        <v>43</v>
      </c>
      <c r="Z934" s="3" t="s">
        <v>25</v>
      </c>
      <c r="AA934" s="3" t="s">
        <v>25</v>
      </c>
      <c r="AB934" s="3" t="str">
        <f>IF(crimenes_cordoba_ampliado[[#This Row],[Hubo Arresto]]="Sí", "Resuelto", "Pendiente")</f>
        <v>Resuelto</v>
      </c>
      <c r="AC934" s="3" t="s">
        <v>258</v>
      </c>
      <c r="AD934" s="3"/>
    </row>
    <row r="935" spans="1:30" x14ac:dyDescent="0.25">
      <c r="A935">
        <v>933</v>
      </c>
      <c r="B935" s="1">
        <v>43747</v>
      </c>
      <c r="C935" s="33">
        <f t="shared" si="28"/>
        <v>43747</v>
      </c>
      <c r="D935" s="34">
        <f t="shared" si="29"/>
        <v>43747</v>
      </c>
      <c r="E935" s="35" t="s">
        <v>1450</v>
      </c>
      <c r="F935" s="2">
        <v>0.16944444444444445</v>
      </c>
      <c r="G935" s="3" t="s">
        <v>35</v>
      </c>
      <c r="H935" s="3" t="s">
        <v>70</v>
      </c>
      <c r="I935" s="25" t="str">
        <f>VLOOKUP(H935,Tabla5[#All],4,FALSE)</f>
        <v>-31,3759272890294, -64,2284587792478</v>
      </c>
      <c r="J935" s="1">
        <v>37633</v>
      </c>
      <c r="K935" s="7">
        <f>INT((crimenes_cordoba_ampliado[[#This Row],[Fecha]]-crimenes_cordoba_ampliado[[#This Row],[Fecha Nac. Delincuente]])/365)</f>
        <v>16</v>
      </c>
      <c r="L935" s="7" t="str">
        <f>_xlfn.XLOOKUP(crimenes_cordoba_ampliado[[#This Row],[EDAD DELINCUENTE]],'Rango etareo'!$A$10:$A$25,'Rango etareo'!$B$10:$B$25,,-1)</f>
        <v>&lt;=17</v>
      </c>
      <c r="M935" s="3" t="s">
        <v>21</v>
      </c>
      <c r="N935" s="3" t="str">
        <f>IF(crimenes_cordoba_ampliado[[#This Row],[Género Delincuente]]="Femenino","🚺","🚹")</f>
        <v>🚺</v>
      </c>
      <c r="O935">
        <v>5</v>
      </c>
      <c r="P935" s="1">
        <v>18062</v>
      </c>
      <c r="Q935" s="7">
        <f>INT((crimenes_cordoba_ampliado[[#This Row],[Fecha]]-crimenes_cordoba_ampliado[[#This Row],[Fecha Nac. Víctima]])/365)</f>
        <v>70</v>
      </c>
      <c r="R935" s="7" t="str">
        <f>_xlfn.XLOOKUP(crimenes_cordoba_ampliado[[#This Row],[EDAD VICTIMA]],'Rango etareo'!$A$2:$A$25,'Rango etareo'!$B$2:$B$25,,-1)</f>
        <v>&gt;65</v>
      </c>
      <c r="S935" s="3" t="s">
        <v>21</v>
      </c>
      <c r="T935" s="3" t="str">
        <f>IF(crimenes_cordoba_ampliado[[#This Row],[Género Víctima]]="Masculino","🚹","🚺")</f>
        <v>🚺</v>
      </c>
      <c r="U935">
        <v>2</v>
      </c>
      <c r="V935" s="3" t="s">
        <v>23</v>
      </c>
      <c r="W935" s="3" t="s">
        <v>24</v>
      </c>
      <c r="X935" s="3" t="s">
        <v>50</v>
      </c>
      <c r="Y935" s="3" t="s">
        <v>24</v>
      </c>
      <c r="Z935" s="3" t="s">
        <v>25</v>
      </c>
      <c r="AA935" s="3" t="s">
        <v>23</v>
      </c>
      <c r="AB935" s="3" t="str">
        <f>IF(crimenes_cordoba_ampliado[[#This Row],[Hubo Arresto]]="Sí", "Resuelto", "Pendiente")</f>
        <v>Resuelto</v>
      </c>
      <c r="AC935" s="3" t="s">
        <v>322</v>
      </c>
      <c r="AD935" s="3"/>
    </row>
    <row r="936" spans="1:30" x14ac:dyDescent="0.25">
      <c r="A936">
        <v>590</v>
      </c>
      <c r="B936" s="1">
        <v>45436</v>
      </c>
      <c r="C936" s="33">
        <f t="shared" si="28"/>
        <v>45436</v>
      </c>
      <c r="D936" s="34">
        <f t="shared" si="29"/>
        <v>45436</v>
      </c>
      <c r="E936" s="35" t="s">
        <v>1455</v>
      </c>
      <c r="F936" s="2">
        <v>0.9194444444444444</v>
      </c>
      <c r="G936" s="3" t="s">
        <v>35</v>
      </c>
      <c r="H936" s="3" t="s">
        <v>49</v>
      </c>
      <c r="I936" s="25" t="str">
        <f>VLOOKUP(H936,Tabla5[#All],4,FALSE)</f>
        <v>-31,4506257494184, -64,1733054344705</v>
      </c>
      <c r="J936" s="1">
        <v>39010</v>
      </c>
      <c r="K936" s="7">
        <f>INT((crimenes_cordoba_ampliado[[#This Row],[Fecha]]-crimenes_cordoba_ampliado[[#This Row],[Fecha Nac. Delincuente]])/365)</f>
        <v>17</v>
      </c>
      <c r="L936" s="7" t="str">
        <f>_xlfn.XLOOKUP(crimenes_cordoba_ampliado[[#This Row],[EDAD DELINCUENTE]],'Rango etareo'!$A$10:$A$25,'Rango etareo'!$B$10:$B$25,,-1)</f>
        <v>&lt;=17</v>
      </c>
      <c r="M936" s="3" t="s">
        <v>22</v>
      </c>
      <c r="N936" s="3" t="str">
        <f>IF(crimenes_cordoba_ampliado[[#This Row],[Género Delincuente]]="Femenino","🚺","🚹")</f>
        <v>🚹</v>
      </c>
      <c r="O936">
        <v>1</v>
      </c>
      <c r="P936" s="1">
        <v>40211</v>
      </c>
      <c r="Q936" s="7">
        <f>INT((crimenes_cordoba_ampliado[[#This Row],[Fecha]]-crimenes_cordoba_ampliado[[#This Row],[Fecha Nac. Víctima]])/365)</f>
        <v>14</v>
      </c>
      <c r="R936" s="7" t="str">
        <f>_xlfn.XLOOKUP(crimenes_cordoba_ampliado[[#This Row],[EDAD VICTIMA]],'Rango etareo'!$A$2:$A$25,'Rango etareo'!$B$2:$B$25,,-1)</f>
        <v>&lt;=17</v>
      </c>
      <c r="S936" s="3" t="s">
        <v>21</v>
      </c>
      <c r="T936" s="3" t="str">
        <f>IF(crimenes_cordoba_ampliado[[#This Row],[Género Víctima]]="Masculino","🚹","🚺")</f>
        <v>🚺</v>
      </c>
      <c r="U936">
        <v>1</v>
      </c>
      <c r="V936" s="3" t="s">
        <v>25</v>
      </c>
      <c r="W936" s="3" t="s">
        <v>71</v>
      </c>
      <c r="X936" s="3" t="s">
        <v>24</v>
      </c>
      <c r="Y936" s="3" t="s">
        <v>64</v>
      </c>
      <c r="Z936" s="3" t="s">
        <v>23</v>
      </c>
      <c r="AA936" s="3" t="s">
        <v>23</v>
      </c>
      <c r="AB936" s="3" t="str">
        <f>IF(crimenes_cordoba_ampliado[[#This Row],[Hubo Arresto]]="Sí", "Resuelto", "Pendiente")</f>
        <v>Pendiente</v>
      </c>
      <c r="AC936" s="3" t="s">
        <v>24</v>
      </c>
      <c r="AD936" s="3"/>
    </row>
    <row r="937" spans="1:30" x14ac:dyDescent="0.25">
      <c r="A937">
        <v>389</v>
      </c>
      <c r="B937" s="1">
        <v>45440</v>
      </c>
      <c r="C937" s="33">
        <f t="shared" si="28"/>
        <v>45440</v>
      </c>
      <c r="D937" s="34">
        <f t="shared" si="29"/>
        <v>45440</v>
      </c>
      <c r="E937" s="35" t="s">
        <v>1453</v>
      </c>
      <c r="F937" s="2">
        <v>0.5756944444444444</v>
      </c>
      <c r="G937" s="3" t="s">
        <v>48</v>
      </c>
      <c r="H937" s="3" t="s">
        <v>52</v>
      </c>
      <c r="I937" s="25" t="str">
        <f>VLOOKUP(H937,Tabla5[#All],4,FALSE)</f>
        <v>-31,3477902896523, -64,2644406169297</v>
      </c>
      <c r="J937" s="1">
        <v>23541</v>
      </c>
      <c r="K937" s="7">
        <f>INT((crimenes_cordoba_ampliado[[#This Row],[Fecha]]-crimenes_cordoba_ampliado[[#This Row],[Fecha Nac. Delincuente]])/365)</f>
        <v>59</v>
      </c>
      <c r="L937" s="7" t="str">
        <f>_xlfn.XLOOKUP(crimenes_cordoba_ampliado[[#This Row],[EDAD DELINCUENTE]],'Rango etareo'!$A$10:$A$25,'Rango etareo'!$B$10:$B$25,,-1)</f>
        <v>56 - 65</v>
      </c>
      <c r="M937" s="3" t="s">
        <v>21</v>
      </c>
      <c r="N937" s="3" t="str">
        <f>IF(crimenes_cordoba_ampliado[[#This Row],[Género Delincuente]]="Femenino","🚺","🚹")</f>
        <v>🚺</v>
      </c>
      <c r="O937">
        <v>4</v>
      </c>
      <c r="P937" s="1">
        <v>18058</v>
      </c>
      <c r="Q937" s="7">
        <f>INT((crimenes_cordoba_ampliado[[#This Row],[Fecha]]-crimenes_cordoba_ampliado[[#This Row],[Fecha Nac. Víctima]])/365)</f>
        <v>75</v>
      </c>
      <c r="R937" s="7" t="str">
        <f>_xlfn.XLOOKUP(crimenes_cordoba_ampliado[[#This Row],[EDAD VICTIMA]],'Rango etareo'!$A$2:$A$25,'Rango etareo'!$B$2:$B$25,,-1)</f>
        <v>&gt;65</v>
      </c>
      <c r="S937" s="3" t="s">
        <v>21</v>
      </c>
      <c r="T937" s="3" t="str">
        <f>IF(crimenes_cordoba_ampliado[[#This Row],[Género Víctima]]="Masculino","🚹","🚺")</f>
        <v>🚺</v>
      </c>
      <c r="U937">
        <v>3</v>
      </c>
      <c r="V937" s="3" t="s">
        <v>25</v>
      </c>
      <c r="W937" s="3" t="s">
        <v>24</v>
      </c>
      <c r="X937" s="3" t="s">
        <v>24</v>
      </c>
      <c r="Y937" s="3" t="s">
        <v>56</v>
      </c>
      <c r="Z937" s="3" t="s">
        <v>25</v>
      </c>
      <c r="AA937" s="3" t="s">
        <v>23</v>
      </c>
      <c r="AB937" s="3" t="str">
        <f>IF(crimenes_cordoba_ampliado[[#This Row],[Hubo Arresto]]="Sí", "Resuelto", "Pendiente")</f>
        <v>Pendiente</v>
      </c>
      <c r="AC937" s="3" t="s">
        <v>24</v>
      </c>
      <c r="AD937" s="3"/>
    </row>
    <row r="938" spans="1:30" x14ac:dyDescent="0.25">
      <c r="A938">
        <v>935</v>
      </c>
      <c r="B938" s="1">
        <v>43645</v>
      </c>
      <c r="C938" s="33">
        <f t="shared" si="28"/>
        <v>43645</v>
      </c>
      <c r="D938" s="34">
        <f t="shared" si="29"/>
        <v>43645</v>
      </c>
      <c r="E938" s="35" t="s">
        <v>1451</v>
      </c>
      <c r="F938" s="2">
        <v>0.64722222222222225</v>
      </c>
      <c r="G938" s="3" t="s">
        <v>42</v>
      </c>
      <c r="H938" s="3" t="s">
        <v>49</v>
      </c>
      <c r="I938" s="25" t="str">
        <f>VLOOKUP(H938,Tabla5[#All],4,FALSE)</f>
        <v>-31,4506257494184, -64,1733054344705</v>
      </c>
      <c r="J938" s="1">
        <v>26260</v>
      </c>
      <c r="K938" s="7">
        <f>INT((crimenes_cordoba_ampliado[[#This Row],[Fecha]]-crimenes_cordoba_ampliado[[#This Row],[Fecha Nac. Delincuente]])/365)</f>
        <v>47</v>
      </c>
      <c r="L938" s="7" t="str">
        <f>_xlfn.XLOOKUP(crimenes_cordoba_ampliado[[#This Row],[EDAD DELINCUENTE]],'Rango etareo'!$A$10:$A$25,'Rango etareo'!$B$10:$B$25,,-1)</f>
        <v>46 - 55</v>
      </c>
      <c r="M938" s="3" t="s">
        <v>21</v>
      </c>
      <c r="N938" s="3" t="str">
        <f>IF(crimenes_cordoba_ampliado[[#This Row],[Género Delincuente]]="Femenino","🚺","🚹")</f>
        <v>🚺</v>
      </c>
      <c r="O938">
        <v>4</v>
      </c>
      <c r="P938" s="1">
        <v>23936</v>
      </c>
      <c r="Q938" s="7">
        <f>INT((crimenes_cordoba_ampliado[[#This Row],[Fecha]]-crimenes_cordoba_ampliado[[#This Row],[Fecha Nac. Víctima]])/365)</f>
        <v>53</v>
      </c>
      <c r="R938" s="7" t="str">
        <f>_xlfn.XLOOKUP(crimenes_cordoba_ampliado[[#This Row],[EDAD VICTIMA]],'Rango etareo'!$A$2:$A$25,'Rango etareo'!$B$2:$B$25,,-1)</f>
        <v>46 - 55</v>
      </c>
      <c r="S938" s="3" t="s">
        <v>21</v>
      </c>
      <c r="T938" s="3" t="str">
        <f>IF(crimenes_cordoba_ampliado[[#This Row],[Género Víctima]]="Masculino","🚹","🚺")</f>
        <v>🚺</v>
      </c>
      <c r="U938">
        <v>1</v>
      </c>
      <c r="V938" s="3" t="s">
        <v>23</v>
      </c>
      <c r="W938" s="3" t="s">
        <v>24</v>
      </c>
      <c r="X938" s="3" t="s">
        <v>24</v>
      </c>
      <c r="Y938" s="3" t="s">
        <v>24</v>
      </c>
      <c r="Z938" s="3" t="s">
        <v>25</v>
      </c>
      <c r="AA938" s="3" t="s">
        <v>25</v>
      </c>
      <c r="AB938" s="3" t="str">
        <f>IF(crimenes_cordoba_ampliado[[#This Row],[Hubo Arresto]]="Sí", "Resuelto", "Pendiente")</f>
        <v>Resuelto</v>
      </c>
      <c r="AC938" s="3" t="s">
        <v>216</v>
      </c>
      <c r="AD938" s="3"/>
    </row>
    <row r="939" spans="1:30" x14ac:dyDescent="0.25">
      <c r="A939">
        <v>772</v>
      </c>
      <c r="B939" s="1">
        <v>45441</v>
      </c>
      <c r="C939" s="33">
        <f t="shared" si="28"/>
        <v>45441</v>
      </c>
      <c r="D939" s="34">
        <f t="shared" si="29"/>
        <v>45441</v>
      </c>
      <c r="E939" s="35" t="s">
        <v>1450</v>
      </c>
      <c r="F939" s="2">
        <v>0.72777777777777775</v>
      </c>
      <c r="G939" s="3" t="s">
        <v>48</v>
      </c>
      <c r="H939" s="3" t="s">
        <v>62</v>
      </c>
      <c r="I939" s="25" t="str">
        <f>VLOOKUP(H939,Tabla5[#All],4,FALSE)</f>
        <v>-31,3909520937826, -64,1836424491715</v>
      </c>
      <c r="J939" s="1">
        <v>37046</v>
      </c>
      <c r="K939" s="7">
        <f>INT((crimenes_cordoba_ampliado[[#This Row],[Fecha]]-crimenes_cordoba_ampliado[[#This Row],[Fecha Nac. Delincuente]])/365)</f>
        <v>23</v>
      </c>
      <c r="L939" s="7" t="str">
        <f>_xlfn.XLOOKUP(crimenes_cordoba_ampliado[[#This Row],[EDAD DELINCUENTE]],'Rango etareo'!$A$10:$A$25,'Rango etareo'!$B$10:$B$25,,-1)</f>
        <v>18 - 25</v>
      </c>
      <c r="M939" s="3" t="s">
        <v>22</v>
      </c>
      <c r="N939" s="3" t="str">
        <f>IF(crimenes_cordoba_ampliado[[#This Row],[Género Delincuente]]="Femenino","🚺","🚹")</f>
        <v>🚹</v>
      </c>
      <c r="O939">
        <v>5</v>
      </c>
      <c r="P939" s="1">
        <v>26339</v>
      </c>
      <c r="Q939" s="7">
        <f>INT((crimenes_cordoba_ampliado[[#This Row],[Fecha]]-crimenes_cordoba_ampliado[[#This Row],[Fecha Nac. Víctima]])/365)</f>
        <v>52</v>
      </c>
      <c r="R939" s="7" t="str">
        <f>_xlfn.XLOOKUP(crimenes_cordoba_ampliado[[#This Row],[EDAD VICTIMA]],'Rango etareo'!$A$2:$A$25,'Rango etareo'!$B$2:$B$25,,-1)</f>
        <v>46 - 55</v>
      </c>
      <c r="S939" s="3" t="s">
        <v>21</v>
      </c>
      <c r="T939" s="3" t="str">
        <f>IF(crimenes_cordoba_ampliado[[#This Row],[Género Víctima]]="Masculino","🚹","🚺")</f>
        <v>🚺</v>
      </c>
      <c r="U939">
        <v>3</v>
      </c>
      <c r="V939" s="3" t="s">
        <v>25</v>
      </c>
      <c r="W939" s="3" t="s">
        <v>24</v>
      </c>
      <c r="X939" s="3" t="s">
        <v>24</v>
      </c>
      <c r="Y939" s="3" t="s">
        <v>43</v>
      </c>
      <c r="Z939" s="3" t="s">
        <v>25</v>
      </c>
      <c r="AA939" s="3" t="s">
        <v>23</v>
      </c>
      <c r="AB939" s="3" t="str">
        <f>IF(crimenes_cordoba_ampliado[[#This Row],[Hubo Arresto]]="Sí", "Resuelto", "Pendiente")</f>
        <v>Pendiente</v>
      </c>
      <c r="AC939" s="3" t="s">
        <v>24</v>
      </c>
      <c r="AD939" s="3"/>
    </row>
    <row r="940" spans="1:30" x14ac:dyDescent="0.25">
      <c r="A940">
        <v>936</v>
      </c>
      <c r="B940" s="1">
        <v>44937</v>
      </c>
      <c r="C940" s="33">
        <f t="shared" si="28"/>
        <v>44937</v>
      </c>
      <c r="D940" s="34">
        <f t="shared" si="29"/>
        <v>44937</v>
      </c>
      <c r="E940" s="35" t="s">
        <v>1450</v>
      </c>
      <c r="F940" s="2">
        <v>0.88124999999999998</v>
      </c>
      <c r="G940" s="3" t="s">
        <v>79</v>
      </c>
      <c r="H940" s="3" t="s">
        <v>40</v>
      </c>
      <c r="I940" s="25" t="str">
        <f>VLOOKUP(H940,Tabla5[#All],4,FALSE)</f>
        <v>-31,334500143441, -64,2460773260564</v>
      </c>
      <c r="J940" s="1">
        <v>23864</v>
      </c>
      <c r="K940" s="7">
        <f>INT((crimenes_cordoba_ampliado[[#This Row],[Fecha]]-crimenes_cordoba_ampliado[[#This Row],[Fecha Nac. Delincuente]])/365)</f>
        <v>57</v>
      </c>
      <c r="L940" s="7" t="str">
        <f>_xlfn.XLOOKUP(crimenes_cordoba_ampliado[[#This Row],[EDAD DELINCUENTE]],'Rango etareo'!$A$10:$A$25,'Rango etareo'!$B$10:$B$25,,-1)</f>
        <v>56 - 65</v>
      </c>
      <c r="M940" s="3" t="s">
        <v>22</v>
      </c>
      <c r="N940" s="3" t="str">
        <f>IF(crimenes_cordoba_ampliado[[#This Row],[Género Delincuente]]="Femenino","🚺","🚹")</f>
        <v>🚹</v>
      </c>
      <c r="O940">
        <v>3</v>
      </c>
      <c r="P940" s="1">
        <v>27019</v>
      </c>
      <c r="Q940" s="7">
        <f>INT((crimenes_cordoba_ampliado[[#This Row],[Fecha]]-crimenes_cordoba_ampliado[[#This Row],[Fecha Nac. Víctima]])/365)</f>
        <v>49</v>
      </c>
      <c r="R940" s="7" t="str">
        <f>_xlfn.XLOOKUP(crimenes_cordoba_ampliado[[#This Row],[EDAD VICTIMA]],'Rango etareo'!$A$2:$A$25,'Rango etareo'!$B$2:$B$25,,-1)</f>
        <v>46 - 55</v>
      </c>
      <c r="S940" s="3" t="s">
        <v>22</v>
      </c>
      <c r="T940" s="3" t="str">
        <f>IF(crimenes_cordoba_ampliado[[#This Row],[Género Víctima]]="Masculino","🚹","🚺")</f>
        <v>🚹</v>
      </c>
      <c r="U940">
        <v>1</v>
      </c>
      <c r="V940" s="3" t="s">
        <v>23</v>
      </c>
      <c r="W940" s="3" t="s">
        <v>71</v>
      </c>
      <c r="X940" s="3" t="s">
        <v>24</v>
      </c>
      <c r="Y940" s="3" t="s">
        <v>101</v>
      </c>
      <c r="Z940" s="3" t="s">
        <v>25</v>
      </c>
      <c r="AA940" s="3" t="s">
        <v>25</v>
      </c>
      <c r="AB940" s="3" t="str">
        <f>IF(crimenes_cordoba_ampliado[[#This Row],[Hubo Arresto]]="Sí", "Resuelto", "Pendiente")</f>
        <v>Resuelto</v>
      </c>
      <c r="AC940" s="3" t="s">
        <v>323</v>
      </c>
      <c r="AD940" s="3"/>
    </row>
    <row r="941" spans="1:30" x14ac:dyDescent="0.25">
      <c r="A941">
        <v>939</v>
      </c>
      <c r="B941" s="1">
        <v>43713</v>
      </c>
      <c r="C941" s="33">
        <f t="shared" si="28"/>
        <v>43713</v>
      </c>
      <c r="D941" s="34">
        <f t="shared" si="29"/>
        <v>43713</v>
      </c>
      <c r="E941" s="35" t="s">
        <v>1454</v>
      </c>
      <c r="F941" s="2">
        <v>0.84166666666666667</v>
      </c>
      <c r="G941" s="3" t="s">
        <v>27</v>
      </c>
      <c r="H941" s="3" t="s">
        <v>28</v>
      </c>
      <c r="I941" s="25" t="str">
        <f>VLOOKUP(H941,Tabla5[#All],4,FALSE)</f>
        <v>-31,4129883640337, -64,1681120522587</v>
      </c>
      <c r="J941" s="1">
        <v>33991</v>
      </c>
      <c r="K941" s="7">
        <f>INT((crimenes_cordoba_ampliado[[#This Row],[Fecha]]-crimenes_cordoba_ampliado[[#This Row],[Fecha Nac. Delincuente]])/365)</f>
        <v>26</v>
      </c>
      <c r="L941" s="7" t="str">
        <f>_xlfn.XLOOKUP(crimenes_cordoba_ampliado[[#This Row],[EDAD DELINCUENTE]],'Rango etareo'!$A$10:$A$25,'Rango etareo'!$B$10:$B$25,,-1)</f>
        <v>26 - 35</v>
      </c>
      <c r="M941" s="3" t="s">
        <v>21</v>
      </c>
      <c r="N941" s="3" t="str">
        <f>IF(crimenes_cordoba_ampliado[[#This Row],[Género Delincuente]]="Femenino","🚺","🚹")</f>
        <v>🚺</v>
      </c>
      <c r="O941">
        <v>4</v>
      </c>
      <c r="P941" s="1">
        <v>27026</v>
      </c>
      <c r="Q941" s="7">
        <f>INT((crimenes_cordoba_ampliado[[#This Row],[Fecha]]-crimenes_cordoba_ampliado[[#This Row],[Fecha Nac. Víctima]])/365)</f>
        <v>45</v>
      </c>
      <c r="R941" s="7" t="str">
        <f>_xlfn.XLOOKUP(crimenes_cordoba_ampliado[[#This Row],[EDAD VICTIMA]],'Rango etareo'!$A$2:$A$25,'Rango etareo'!$B$2:$B$25,,-1)</f>
        <v>36 - 45</v>
      </c>
      <c r="S941" s="3" t="s">
        <v>21</v>
      </c>
      <c r="T941" s="3" t="str">
        <f>IF(crimenes_cordoba_ampliado[[#This Row],[Género Víctima]]="Masculino","🚹","🚺")</f>
        <v>🚺</v>
      </c>
      <c r="U941">
        <v>3</v>
      </c>
      <c r="V941" s="3" t="s">
        <v>23</v>
      </c>
      <c r="W941" s="3" t="s">
        <v>83</v>
      </c>
      <c r="X941" s="3" t="s">
        <v>24</v>
      </c>
      <c r="Y941" s="3" t="s">
        <v>99</v>
      </c>
      <c r="Z941" s="3" t="s">
        <v>25</v>
      </c>
      <c r="AA941" s="3" t="s">
        <v>23</v>
      </c>
      <c r="AB941" s="3" t="str">
        <f>IF(crimenes_cordoba_ampliado[[#This Row],[Hubo Arresto]]="Sí", "Resuelto", "Pendiente")</f>
        <v>Resuelto</v>
      </c>
      <c r="AC941" s="3" t="s">
        <v>26</v>
      </c>
      <c r="AD941" s="3"/>
    </row>
    <row r="942" spans="1:30" x14ac:dyDescent="0.25">
      <c r="A942">
        <v>940</v>
      </c>
      <c r="B942" s="1">
        <v>43364</v>
      </c>
      <c r="C942" s="33">
        <f t="shared" si="28"/>
        <v>43364</v>
      </c>
      <c r="D942" s="34">
        <f t="shared" si="29"/>
        <v>43364</v>
      </c>
      <c r="E942" s="35" t="s">
        <v>1455</v>
      </c>
      <c r="F942" s="2">
        <v>0.99305555555555558</v>
      </c>
      <c r="G942" s="3" t="s">
        <v>42</v>
      </c>
      <c r="H942" s="3" t="s">
        <v>55</v>
      </c>
      <c r="I942" s="25" t="str">
        <f>VLOOKUP(H942,Tabla5[#All],4,FALSE)</f>
        <v>-31,4015892433235, -64,160442876477</v>
      </c>
      <c r="J942" s="1">
        <v>36115</v>
      </c>
      <c r="K942" s="7">
        <f>INT((crimenes_cordoba_ampliado[[#This Row],[Fecha]]-crimenes_cordoba_ampliado[[#This Row],[Fecha Nac. Delincuente]])/365)</f>
        <v>19</v>
      </c>
      <c r="L942" s="7" t="str">
        <f>_xlfn.XLOOKUP(crimenes_cordoba_ampliado[[#This Row],[EDAD DELINCUENTE]],'Rango etareo'!$A$10:$A$25,'Rango etareo'!$B$10:$B$25,,-1)</f>
        <v>18 - 25</v>
      </c>
      <c r="M942" s="3" t="s">
        <v>21</v>
      </c>
      <c r="N942" s="3" t="str">
        <f>IF(crimenes_cordoba_ampliado[[#This Row],[Género Delincuente]]="Femenino","🚺","🚹")</f>
        <v>🚺</v>
      </c>
      <c r="O942">
        <v>1</v>
      </c>
      <c r="P942" s="1">
        <v>30808</v>
      </c>
      <c r="Q942" s="7">
        <f>INT((crimenes_cordoba_ampliado[[#This Row],[Fecha]]-crimenes_cordoba_ampliado[[#This Row],[Fecha Nac. Víctima]])/365)</f>
        <v>34</v>
      </c>
      <c r="R942" s="7" t="str">
        <f>_xlfn.XLOOKUP(crimenes_cordoba_ampliado[[#This Row],[EDAD VICTIMA]],'Rango etareo'!$A$2:$A$25,'Rango etareo'!$B$2:$B$25,,-1)</f>
        <v>26 - 35</v>
      </c>
      <c r="S942" s="3" t="s">
        <v>21</v>
      </c>
      <c r="T942" s="3" t="str">
        <f>IF(crimenes_cordoba_ampliado[[#This Row],[Género Víctima]]="Masculino","🚹","🚺")</f>
        <v>🚺</v>
      </c>
      <c r="U942">
        <v>3</v>
      </c>
      <c r="V942" s="3" t="s">
        <v>23</v>
      </c>
      <c r="W942" s="3" t="s">
        <v>63</v>
      </c>
      <c r="X942" s="3" t="s">
        <v>24</v>
      </c>
      <c r="Y942" s="3" t="s">
        <v>99</v>
      </c>
      <c r="Z942" s="3" t="s">
        <v>25</v>
      </c>
      <c r="AA942" s="3" t="s">
        <v>25</v>
      </c>
      <c r="AB942" s="3" t="str">
        <f>IF(crimenes_cordoba_ampliado[[#This Row],[Hubo Arresto]]="Sí", "Resuelto", "Pendiente")</f>
        <v>Resuelto</v>
      </c>
      <c r="AC942" s="3" t="s">
        <v>237</v>
      </c>
      <c r="AD942" s="3"/>
    </row>
    <row r="943" spans="1:30" x14ac:dyDescent="0.25">
      <c r="A943">
        <v>942</v>
      </c>
      <c r="B943" s="1">
        <v>42522</v>
      </c>
      <c r="C943" s="33">
        <f t="shared" si="28"/>
        <v>42522</v>
      </c>
      <c r="D943" s="34">
        <f t="shared" si="29"/>
        <v>42522</v>
      </c>
      <c r="E943" s="35" t="s">
        <v>1450</v>
      </c>
      <c r="F943" s="2">
        <v>0.98819444444444449</v>
      </c>
      <c r="G943" s="3" t="s">
        <v>54</v>
      </c>
      <c r="H943" s="3" t="s">
        <v>32</v>
      </c>
      <c r="I943" s="25" t="str">
        <f>VLOOKUP(H943,Tabla5[#All],4,FALSE)</f>
        <v>-31,4148488101991, -64,1793406489438</v>
      </c>
      <c r="J943" s="1">
        <v>21384</v>
      </c>
      <c r="K943" s="7">
        <f>INT((crimenes_cordoba_ampliado[[#This Row],[Fecha]]-crimenes_cordoba_ampliado[[#This Row],[Fecha Nac. Delincuente]])/365)</f>
        <v>57</v>
      </c>
      <c r="L943" s="7" t="str">
        <f>_xlfn.XLOOKUP(crimenes_cordoba_ampliado[[#This Row],[EDAD DELINCUENTE]],'Rango etareo'!$A$10:$A$25,'Rango etareo'!$B$10:$B$25,,-1)</f>
        <v>56 - 65</v>
      </c>
      <c r="M943" s="3" t="s">
        <v>21</v>
      </c>
      <c r="N943" s="3" t="str">
        <f>IF(crimenes_cordoba_ampliado[[#This Row],[Género Delincuente]]="Femenino","🚺","🚹")</f>
        <v>🚺</v>
      </c>
      <c r="O943">
        <v>4</v>
      </c>
      <c r="P943" s="1">
        <v>27786</v>
      </c>
      <c r="Q943" s="7">
        <f>INT((crimenes_cordoba_ampliado[[#This Row],[Fecha]]-crimenes_cordoba_ampliado[[#This Row],[Fecha Nac. Víctima]])/365)</f>
        <v>40</v>
      </c>
      <c r="R943" s="7" t="str">
        <f>_xlfn.XLOOKUP(crimenes_cordoba_ampliado[[#This Row],[EDAD VICTIMA]],'Rango etareo'!$A$2:$A$25,'Rango etareo'!$B$2:$B$25,,-1)</f>
        <v>36 - 45</v>
      </c>
      <c r="S943" s="3" t="s">
        <v>22</v>
      </c>
      <c r="T943" s="3" t="str">
        <f>IF(crimenes_cordoba_ampliado[[#This Row],[Género Víctima]]="Masculino","🚹","🚺")</f>
        <v>🚹</v>
      </c>
      <c r="U943">
        <v>1</v>
      </c>
      <c r="V943" s="3" t="s">
        <v>23</v>
      </c>
      <c r="W943" s="3" t="s">
        <v>83</v>
      </c>
      <c r="X943" s="3" t="s">
        <v>50</v>
      </c>
      <c r="Y943" s="3" t="s">
        <v>24</v>
      </c>
      <c r="Z943" s="3" t="s">
        <v>25</v>
      </c>
      <c r="AA943" s="3" t="s">
        <v>25</v>
      </c>
      <c r="AB943" s="3" t="str">
        <f>IF(crimenes_cordoba_ampliado[[#This Row],[Hubo Arresto]]="Sí", "Resuelto", "Pendiente")</f>
        <v>Resuelto</v>
      </c>
      <c r="AC943" s="3" t="s">
        <v>277</v>
      </c>
      <c r="AD943" s="3"/>
    </row>
    <row r="944" spans="1:30" x14ac:dyDescent="0.25">
      <c r="A944">
        <v>943</v>
      </c>
      <c r="B944" s="1">
        <v>43240</v>
      </c>
      <c r="C944" s="33">
        <f t="shared" si="28"/>
        <v>43240</v>
      </c>
      <c r="D944" s="34">
        <f t="shared" si="29"/>
        <v>43240</v>
      </c>
      <c r="E944" s="35" t="s">
        <v>1449</v>
      </c>
      <c r="F944" s="2">
        <v>0.64166666666666672</v>
      </c>
      <c r="G944" s="3" t="s">
        <v>38</v>
      </c>
      <c r="H944" s="3" t="s">
        <v>32</v>
      </c>
      <c r="I944" s="25" t="str">
        <f>VLOOKUP(H944,Tabla5[#All],4,FALSE)</f>
        <v>-31,4148488101991, -64,1793406489438</v>
      </c>
      <c r="J944" s="1">
        <v>27915</v>
      </c>
      <c r="K944" s="7">
        <f>INT((crimenes_cordoba_ampliado[[#This Row],[Fecha]]-crimenes_cordoba_ampliado[[#This Row],[Fecha Nac. Delincuente]])/365)</f>
        <v>41</v>
      </c>
      <c r="L944" s="7" t="str">
        <f>_xlfn.XLOOKUP(crimenes_cordoba_ampliado[[#This Row],[EDAD DELINCUENTE]],'Rango etareo'!$A$10:$A$25,'Rango etareo'!$B$10:$B$25,,-1)</f>
        <v>36 - 45</v>
      </c>
      <c r="M944" s="3" t="s">
        <v>22</v>
      </c>
      <c r="N944" s="3" t="str">
        <f>IF(crimenes_cordoba_ampliado[[#This Row],[Género Delincuente]]="Femenino","🚺","🚹")</f>
        <v>🚹</v>
      </c>
      <c r="O944">
        <v>3</v>
      </c>
      <c r="P944" s="1">
        <v>40466</v>
      </c>
      <c r="Q944" s="7">
        <f>INT((crimenes_cordoba_ampliado[[#This Row],[Fecha]]-crimenes_cordoba_ampliado[[#This Row],[Fecha Nac. Víctima]])/365)</f>
        <v>7</v>
      </c>
      <c r="R944" s="7" t="str">
        <f>_xlfn.XLOOKUP(crimenes_cordoba_ampliado[[#This Row],[EDAD VICTIMA]],'Rango etareo'!$A$2:$A$25,'Rango etareo'!$B$2:$B$25,,-1)</f>
        <v>&lt;=17</v>
      </c>
      <c r="S944" s="3" t="s">
        <v>22</v>
      </c>
      <c r="T944" s="3" t="str">
        <f>IF(crimenes_cordoba_ampliado[[#This Row],[Género Víctima]]="Masculino","🚹","🚺")</f>
        <v>🚹</v>
      </c>
      <c r="U944">
        <v>3</v>
      </c>
      <c r="V944" s="3" t="s">
        <v>23</v>
      </c>
      <c r="W944" s="3" t="s">
        <v>24</v>
      </c>
      <c r="X944" s="3" t="s">
        <v>24</v>
      </c>
      <c r="Y944" s="3" t="s">
        <v>56</v>
      </c>
      <c r="Z944" s="3" t="s">
        <v>25</v>
      </c>
      <c r="AA944" s="3" t="s">
        <v>23</v>
      </c>
      <c r="AB944" s="3" t="str">
        <f>IF(crimenes_cordoba_ampliado[[#This Row],[Hubo Arresto]]="Sí", "Resuelto", "Pendiente")</f>
        <v>Resuelto</v>
      </c>
      <c r="AC944" s="3" t="s">
        <v>308</v>
      </c>
      <c r="AD944" s="3"/>
    </row>
    <row r="945" spans="1:30" x14ac:dyDescent="0.25">
      <c r="A945">
        <v>946</v>
      </c>
      <c r="B945" s="1">
        <v>43305</v>
      </c>
      <c r="C945" s="33">
        <f t="shared" si="28"/>
        <v>43305</v>
      </c>
      <c r="D945" s="34">
        <f t="shared" si="29"/>
        <v>43305</v>
      </c>
      <c r="E945" s="35" t="s">
        <v>1453</v>
      </c>
      <c r="F945" s="2">
        <v>0.54861111111111116</v>
      </c>
      <c r="G945" s="3" t="s">
        <v>81</v>
      </c>
      <c r="H945" s="3" t="s">
        <v>55</v>
      </c>
      <c r="I945" s="25" t="str">
        <f>VLOOKUP(H945,Tabla5[#All],4,FALSE)</f>
        <v>-31,4015892433235, -64,160442876477</v>
      </c>
      <c r="J945" s="1">
        <v>22002</v>
      </c>
      <c r="K945" s="7">
        <f>INT((crimenes_cordoba_ampliado[[#This Row],[Fecha]]-crimenes_cordoba_ampliado[[#This Row],[Fecha Nac. Delincuente]])/365)</f>
        <v>58</v>
      </c>
      <c r="L945" s="7" t="str">
        <f>_xlfn.XLOOKUP(crimenes_cordoba_ampliado[[#This Row],[EDAD DELINCUENTE]],'Rango etareo'!$A$10:$A$25,'Rango etareo'!$B$10:$B$25,,-1)</f>
        <v>56 - 65</v>
      </c>
      <c r="M945" s="3" t="s">
        <v>21</v>
      </c>
      <c r="N945" s="3" t="str">
        <f>IF(crimenes_cordoba_ampliado[[#This Row],[Género Delincuente]]="Femenino","🚺","🚹")</f>
        <v>🚺</v>
      </c>
      <c r="O945">
        <v>3</v>
      </c>
      <c r="P945" s="1">
        <v>42187</v>
      </c>
      <c r="Q945" s="7">
        <f>INT((crimenes_cordoba_ampliado[[#This Row],[Fecha]]-crimenes_cordoba_ampliado[[#This Row],[Fecha Nac. Víctima]])/365)</f>
        <v>3</v>
      </c>
      <c r="R945" s="7" t="str">
        <f>_xlfn.XLOOKUP(crimenes_cordoba_ampliado[[#This Row],[EDAD VICTIMA]],'Rango etareo'!$A$2:$A$25,'Rango etareo'!$B$2:$B$25,,-1)</f>
        <v>&lt;=17</v>
      </c>
      <c r="S945" s="3" t="s">
        <v>21</v>
      </c>
      <c r="T945" s="3" t="str">
        <f>IF(crimenes_cordoba_ampliado[[#This Row],[Género Víctima]]="Masculino","🚹","🚺")</f>
        <v>🚺</v>
      </c>
      <c r="U945">
        <v>2</v>
      </c>
      <c r="V945" s="3" t="s">
        <v>23</v>
      </c>
      <c r="W945" s="3" t="s">
        <v>24</v>
      </c>
      <c r="X945" s="3" t="s">
        <v>24</v>
      </c>
      <c r="Y945" s="3" t="s">
        <v>39</v>
      </c>
      <c r="Z945" s="3" t="s">
        <v>25</v>
      </c>
      <c r="AA945" s="3" t="s">
        <v>25</v>
      </c>
      <c r="AB945" s="3" t="str">
        <f>IF(crimenes_cordoba_ampliado[[#This Row],[Hubo Arresto]]="Sí", "Resuelto", "Pendiente")</f>
        <v>Resuelto</v>
      </c>
      <c r="AC945" s="3" t="s">
        <v>293</v>
      </c>
      <c r="AD945" s="3"/>
    </row>
    <row r="946" spans="1:30" x14ac:dyDescent="0.25">
      <c r="A946">
        <v>878</v>
      </c>
      <c r="B946" s="1">
        <v>45461</v>
      </c>
      <c r="C946" s="33">
        <f t="shared" si="28"/>
        <v>45461</v>
      </c>
      <c r="D946" s="34">
        <f t="shared" si="29"/>
        <v>45461</v>
      </c>
      <c r="E946" s="35" t="s">
        <v>1453</v>
      </c>
      <c r="F946" s="2">
        <v>0.9916666666666667</v>
      </c>
      <c r="G946" s="3" t="s">
        <v>45</v>
      </c>
      <c r="H946" s="3" t="s">
        <v>49</v>
      </c>
      <c r="I946" s="25" t="str">
        <f>VLOOKUP(H946,Tabla5[#All],4,FALSE)</f>
        <v>-31,4506257494184, -64,1733054344705</v>
      </c>
      <c r="J946" s="1">
        <v>24058</v>
      </c>
      <c r="K946" s="7">
        <f>INT((crimenes_cordoba_ampliado[[#This Row],[Fecha]]-crimenes_cordoba_ampliado[[#This Row],[Fecha Nac. Delincuente]])/365)</f>
        <v>58</v>
      </c>
      <c r="L946" s="7" t="str">
        <f>_xlfn.XLOOKUP(crimenes_cordoba_ampliado[[#This Row],[EDAD DELINCUENTE]],'Rango etareo'!$A$10:$A$25,'Rango etareo'!$B$10:$B$25,,-1)</f>
        <v>56 - 65</v>
      </c>
      <c r="M946" s="3" t="s">
        <v>21</v>
      </c>
      <c r="N946" s="3" t="str">
        <f>IF(crimenes_cordoba_ampliado[[#This Row],[Género Delincuente]]="Femenino","🚺","🚹")</f>
        <v>🚺</v>
      </c>
      <c r="O946">
        <v>3</v>
      </c>
      <c r="P946" s="1">
        <v>23547</v>
      </c>
      <c r="Q946" s="7">
        <f>INT((crimenes_cordoba_ampliado[[#This Row],[Fecha]]-crimenes_cordoba_ampliado[[#This Row],[Fecha Nac. Víctima]])/365)</f>
        <v>60</v>
      </c>
      <c r="R946" s="7" t="str">
        <f>_xlfn.XLOOKUP(crimenes_cordoba_ampliado[[#This Row],[EDAD VICTIMA]],'Rango etareo'!$A$2:$A$25,'Rango etareo'!$B$2:$B$25,,-1)</f>
        <v>56 - 65</v>
      </c>
      <c r="S946" s="3" t="s">
        <v>22</v>
      </c>
      <c r="T946" s="3" t="str">
        <f>IF(crimenes_cordoba_ampliado[[#This Row],[Género Víctima]]="Masculino","🚹","🚺")</f>
        <v>🚹</v>
      </c>
      <c r="U946">
        <v>1</v>
      </c>
      <c r="V946" s="3" t="s">
        <v>25</v>
      </c>
      <c r="W946" s="3" t="s">
        <v>63</v>
      </c>
      <c r="X946" s="3" t="s">
        <v>24</v>
      </c>
      <c r="Y946" s="3" t="s">
        <v>101</v>
      </c>
      <c r="Z946" s="3" t="s">
        <v>25</v>
      </c>
      <c r="AA946" s="3" t="s">
        <v>25</v>
      </c>
      <c r="AB946" s="3" t="str">
        <f>IF(crimenes_cordoba_ampliado[[#This Row],[Hubo Arresto]]="Sí", "Resuelto", "Pendiente")</f>
        <v>Pendiente</v>
      </c>
      <c r="AC946" s="3" t="s">
        <v>24</v>
      </c>
      <c r="AD946" s="3"/>
    </row>
    <row r="947" spans="1:30" x14ac:dyDescent="0.25">
      <c r="A947">
        <v>64</v>
      </c>
      <c r="B947" s="1">
        <v>45463</v>
      </c>
      <c r="C947" s="33">
        <f t="shared" si="28"/>
        <v>45463</v>
      </c>
      <c r="D947" s="34">
        <f t="shared" si="29"/>
        <v>45463</v>
      </c>
      <c r="E947" s="35" t="s">
        <v>1454</v>
      </c>
      <c r="F947" s="2">
        <v>0.52986111111111112</v>
      </c>
      <c r="G947" s="3" t="s">
        <v>38</v>
      </c>
      <c r="H947" s="3" t="s">
        <v>62</v>
      </c>
      <c r="I947" s="25" t="str">
        <f>VLOOKUP(H947,Tabla5[#All],4,FALSE)</f>
        <v>-31,3909520937826, -64,1836424491715</v>
      </c>
      <c r="J947" s="1">
        <v>25394</v>
      </c>
      <c r="K947" s="7">
        <f>INT((crimenes_cordoba_ampliado[[#This Row],[Fecha]]-crimenes_cordoba_ampliado[[#This Row],[Fecha Nac. Delincuente]])/365)</f>
        <v>54</v>
      </c>
      <c r="L947" s="7" t="str">
        <f>_xlfn.XLOOKUP(crimenes_cordoba_ampliado[[#This Row],[EDAD DELINCUENTE]],'Rango etareo'!$A$10:$A$25,'Rango etareo'!$B$10:$B$25,,-1)</f>
        <v>46 - 55</v>
      </c>
      <c r="M947" s="3" t="s">
        <v>22</v>
      </c>
      <c r="N947" s="3" t="str">
        <f>IF(crimenes_cordoba_ampliado[[#This Row],[Género Delincuente]]="Femenino","🚺","🚹")</f>
        <v>🚹</v>
      </c>
      <c r="O947">
        <v>3</v>
      </c>
      <c r="P947" s="1">
        <v>31331</v>
      </c>
      <c r="Q947" s="7">
        <f>INT((crimenes_cordoba_ampliado[[#This Row],[Fecha]]-crimenes_cordoba_ampliado[[#This Row],[Fecha Nac. Víctima]])/365)</f>
        <v>38</v>
      </c>
      <c r="R947" s="7" t="str">
        <f>_xlfn.XLOOKUP(crimenes_cordoba_ampliado[[#This Row],[EDAD VICTIMA]],'Rango etareo'!$A$2:$A$25,'Rango etareo'!$B$2:$B$25,,-1)</f>
        <v>36 - 45</v>
      </c>
      <c r="S947" s="3" t="s">
        <v>21</v>
      </c>
      <c r="T947" s="3" t="str">
        <f>IF(crimenes_cordoba_ampliado[[#This Row],[Género Víctima]]="Masculino","🚹","🚺")</f>
        <v>🚺</v>
      </c>
      <c r="U947">
        <v>3</v>
      </c>
      <c r="V947" s="3" t="s">
        <v>25</v>
      </c>
      <c r="W947" s="3" t="s">
        <v>24</v>
      </c>
      <c r="X947" s="3" t="s">
        <v>24</v>
      </c>
      <c r="Y947" s="3" t="s">
        <v>53</v>
      </c>
      <c r="Z947" s="3" t="s">
        <v>25</v>
      </c>
      <c r="AA947" s="3" t="s">
        <v>25</v>
      </c>
      <c r="AB947" s="3" t="str">
        <f>IF(crimenes_cordoba_ampliado[[#This Row],[Hubo Arresto]]="Sí", "Resuelto", "Pendiente")</f>
        <v>Pendiente</v>
      </c>
      <c r="AC947" s="3" t="s">
        <v>24</v>
      </c>
      <c r="AD947" s="3"/>
    </row>
    <row r="948" spans="1:30" x14ac:dyDescent="0.25">
      <c r="A948">
        <v>244</v>
      </c>
      <c r="B948" s="1">
        <v>45466</v>
      </c>
      <c r="C948" s="33">
        <f t="shared" si="28"/>
        <v>45466</v>
      </c>
      <c r="D948" s="34">
        <f t="shared" si="29"/>
        <v>45466</v>
      </c>
      <c r="E948" s="35" t="s">
        <v>1449</v>
      </c>
      <c r="F948" s="2">
        <v>0.33680555555555558</v>
      </c>
      <c r="G948" s="3" t="s">
        <v>79</v>
      </c>
      <c r="H948" s="3" t="s">
        <v>32</v>
      </c>
      <c r="I948" s="25" t="str">
        <f>VLOOKUP(H948,Tabla5[#All],4,FALSE)</f>
        <v>-31,4148488101991, -64,1793406489438</v>
      </c>
      <c r="J948" s="1">
        <v>23498</v>
      </c>
      <c r="K948" s="7">
        <f>INT((crimenes_cordoba_ampliado[[#This Row],[Fecha]]-crimenes_cordoba_ampliado[[#This Row],[Fecha Nac. Delincuente]])/365)</f>
        <v>60</v>
      </c>
      <c r="L948" s="7" t="str">
        <f>_xlfn.XLOOKUP(crimenes_cordoba_ampliado[[#This Row],[EDAD DELINCUENTE]],'Rango etareo'!$A$10:$A$25,'Rango etareo'!$B$10:$B$25,,-1)</f>
        <v>56 - 65</v>
      </c>
      <c r="M948" s="3" t="s">
        <v>21</v>
      </c>
      <c r="N948" s="3" t="str">
        <f>IF(crimenes_cordoba_ampliado[[#This Row],[Género Delincuente]]="Femenino","🚺","🚹")</f>
        <v>🚺</v>
      </c>
      <c r="O948">
        <v>1</v>
      </c>
      <c r="P948" s="1">
        <v>16438</v>
      </c>
      <c r="Q948" s="7">
        <f>INT((crimenes_cordoba_ampliado[[#This Row],[Fecha]]-crimenes_cordoba_ampliado[[#This Row],[Fecha Nac. Víctima]])/365)</f>
        <v>79</v>
      </c>
      <c r="R948" s="7" t="str">
        <f>_xlfn.XLOOKUP(crimenes_cordoba_ampliado[[#This Row],[EDAD VICTIMA]],'Rango etareo'!$A$2:$A$25,'Rango etareo'!$B$2:$B$25,,-1)</f>
        <v>&gt;65</v>
      </c>
      <c r="S948" s="3" t="s">
        <v>22</v>
      </c>
      <c r="T948" s="3" t="str">
        <f>IF(crimenes_cordoba_ampliado[[#This Row],[Género Víctima]]="Masculino","🚹","🚺")</f>
        <v>🚹</v>
      </c>
      <c r="U948">
        <v>3</v>
      </c>
      <c r="V948" s="3" t="s">
        <v>25</v>
      </c>
      <c r="W948" s="3" t="s">
        <v>24</v>
      </c>
      <c r="X948" s="3" t="s">
        <v>24</v>
      </c>
      <c r="Y948" s="3" t="s">
        <v>46</v>
      </c>
      <c r="Z948" s="3" t="s">
        <v>25</v>
      </c>
      <c r="AA948" s="3" t="s">
        <v>25</v>
      </c>
      <c r="AB948" s="3" t="str">
        <f>IF(crimenes_cordoba_ampliado[[#This Row],[Hubo Arresto]]="Sí", "Resuelto", "Pendiente")</f>
        <v>Pendiente</v>
      </c>
      <c r="AC948" s="3" t="s">
        <v>24</v>
      </c>
      <c r="AD948" s="3"/>
    </row>
    <row r="949" spans="1:30" x14ac:dyDescent="0.25">
      <c r="A949">
        <v>803</v>
      </c>
      <c r="B949" s="1">
        <v>45470</v>
      </c>
      <c r="C949" s="33">
        <f t="shared" si="28"/>
        <v>45470</v>
      </c>
      <c r="D949" s="34">
        <f t="shared" si="29"/>
        <v>45470</v>
      </c>
      <c r="E949" s="35" t="s">
        <v>1454</v>
      </c>
      <c r="F949" s="2">
        <v>0.60972222222222228</v>
      </c>
      <c r="G949" s="3" t="s">
        <v>54</v>
      </c>
      <c r="H949" s="3" t="s">
        <v>70</v>
      </c>
      <c r="I949" s="25" t="str">
        <f>VLOOKUP(H949,Tabla5[#All],4,FALSE)</f>
        <v>-31,3759272890294, -64,2284587792478</v>
      </c>
      <c r="J949" s="1">
        <v>18515</v>
      </c>
      <c r="K949" s="7">
        <f>INT((crimenes_cordoba_ampliado[[#This Row],[Fecha]]-crimenes_cordoba_ampliado[[#This Row],[Fecha Nac. Delincuente]])/365)</f>
        <v>73</v>
      </c>
      <c r="L949" s="7" t="str">
        <f>_xlfn.XLOOKUP(crimenes_cordoba_ampliado[[#This Row],[EDAD DELINCUENTE]],'Rango etareo'!$A$10:$A$25,'Rango etareo'!$B$10:$B$25,,-1)</f>
        <v>&gt;65</v>
      </c>
      <c r="M949" s="3" t="s">
        <v>22</v>
      </c>
      <c r="N949" s="3" t="str">
        <f>IF(crimenes_cordoba_ampliado[[#This Row],[Género Delincuente]]="Femenino","🚺","🚹")</f>
        <v>🚹</v>
      </c>
      <c r="O949">
        <v>2</v>
      </c>
      <c r="P949" s="1">
        <v>38850</v>
      </c>
      <c r="Q949" s="7">
        <f>INT((crimenes_cordoba_ampliado[[#This Row],[Fecha]]-crimenes_cordoba_ampliado[[#This Row],[Fecha Nac. Víctima]])/365)</f>
        <v>18</v>
      </c>
      <c r="R949" s="7" t="str">
        <f>_xlfn.XLOOKUP(crimenes_cordoba_ampliado[[#This Row],[EDAD VICTIMA]],'Rango etareo'!$A$2:$A$25,'Rango etareo'!$B$2:$B$25,,-1)</f>
        <v>18 - 25</v>
      </c>
      <c r="S949" s="3" t="s">
        <v>22</v>
      </c>
      <c r="T949" s="3" t="str">
        <f>IF(crimenes_cordoba_ampliado[[#This Row],[Género Víctima]]="Masculino","🚹","🚺")</f>
        <v>🚹</v>
      </c>
      <c r="U949">
        <v>2</v>
      </c>
      <c r="V949" s="3" t="s">
        <v>25</v>
      </c>
      <c r="W949" s="3" t="s">
        <v>24</v>
      </c>
      <c r="X949" s="3" t="s">
        <v>24</v>
      </c>
      <c r="Y949" s="3" t="s">
        <v>53</v>
      </c>
      <c r="Z949" s="3" t="s">
        <v>25</v>
      </c>
      <c r="AA949" s="3" t="s">
        <v>23</v>
      </c>
      <c r="AB949" s="3" t="str">
        <f>IF(crimenes_cordoba_ampliado[[#This Row],[Hubo Arresto]]="Sí", "Resuelto", "Pendiente")</f>
        <v>Pendiente</v>
      </c>
      <c r="AC949" s="3" t="s">
        <v>24</v>
      </c>
      <c r="AD949" s="3"/>
    </row>
    <row r="950" spans="1:30" x14ac:dyDescent="0.25">
      <c r="A950">
        <v>947</v>
      </c>
      <c r="B950" s="1">
        <v>42282</v>
      </c>
      <c r="C950" s="33">
        <f t="shared" si="28"/>
        <v>42282</v>
      </c>
      <c r="D950" s="34">
        <f t="shared" si="29"/>
        <v>42282</v>
      </c>
      <c r="E950" s="35" t="s">
        <v>1452</v>
      </c>
      <c r="F950" s="2">
        <v>0.78194444444444444</v>
      </c>
      <c r="G950" s="3" t="s">
        <v>31</v>
      </c>
      <c r="H950" s="3" t="s">
        <v>70</v>
      </c>
      <c r="I950" s="25" t="str">
        <f>VLOOKUP(H950,Tabla5[#All],4,FALSE)</f>
        <v>-31,3759272890294, -64,2284587792478</v>
      </c>
      <c r="J950" s="1">
        <v>35233</v>
      </c>
      <c r="K950" s="7">
        <f>INT((crimenes_cordoba_ampliado[[#This Row],[Fecha]]-crimenes_cordoba_ampliado[[#This Row],[Fecha Nac. Delincuente]])/365)</f>
        <v>19</v>
      </c>
      <c r="L950" s="7" t="str">
        <f>_xlfn.XLOOKUP(crimenes_cordoba_ampliado[[#This Row],[EDAD DELINCUENTE]],'Rango etareo'!$A$10:$A$25,'Rango etareo'!$B$10:$B$25,,-1)</f>
        <v>18 - 25</v>
      </c>
      <c r="M950" s="3" t="s">
        <v>21</v>
      </c>
      <c r="N950" s="3" t="str">
        <f>IF(crimenes_cordoba_ampliado[[#This Row],[Género Delincuente]]="Femenino","🚺","🚹")</f>
        <v>🚺</v>
      </c>
      <c r="O950">
        <v>5</v>
      </c>
      <c r="P950" s="1">
        <v>21832</v>
      </c>
      <c r="Q950" s="7">
        <f>INT((crimenes_cordoba_ampliado[[#This Row],[Fecha]]-crimenes_cordoba_ampliado[[#This Row],[Fecha Nac. Víctima]])/365)</f>
        <v>56</v>
      </c>
      <c r="R950" s="7" t="str">
        <f>_xlfn.XLOOKUP(crimenes_cordoba_ampliado[[#This Row],[EDAD VICTIMA]],'Rango etareo'!$A$2:$A$25,'Rango etareo'!$B$2:$B$25,,-1)</f>
        <v>56 - 65</v>
      </c>
      <c r="S950" s="3" t="s">
        <v>22</v>
      </c>
      <c r="T950" s="3" t="str">
        <f>IF(crimenes_cordoba_ampliado[[#This Row],[Género Víctima]]="Masculino","🚹","🚺")</f>
        <v>🚹</v>
      </c>
      <c r="U950">
        <v>2</v>
      </c>
      <c r="V950" s="3" t="s">
        <v>23</v>
      </c>
      <c r="W950" s="3" t="s">
        <v>71</v>
      </c>
      <c r="X950" s="3" t="s">
        <v>67</v>
      </c>
      <c r="Y950" s="3" t="s">
        <v>24</v>
      </c>
      <c r="Z950" s="3" t="s">
        <v>25</v>
      </c>
      <c r="AA950" s="3" t="s">
        <v>25</v>
      </c>
      <c r="AB950" s="3" t="str">
        <f>IF(crimenes_cordoba_ampliado[[#This Row],[Hubo Arresto]]="Sí", "Resuelto", "Pendiente")</f>
        <v>Resuelto</v>
      </c>
      <c r="AC950" s="3" t="s">
        <v>174</v>
      </c>
      <c r="AD950" s="3"/>
    </row>
    <row r="951" spans="1:30" x14ac:dyDescent="0.25">
      <c r="A951">
        <v>948</v>
      </c>
      <c r="B951" s="1">
        <v>42143</v>
      </c>
      <c r="C951" s="33">
        <f t="shared" si="28"/>
        <v>42143</v>
      </c>
      <c r="D951" s="34">
        <f t="shared" si="29"/>
        <v>42143</v>
      </c>
      <c r="E951" s="35" t="s">
        <v>1453</v>
      </c>
      <c r="F951" s="2">
        <v>0.49791666666666667</v>
      </c>
      <c r="G951" s="3" t="s">
        <v>51</v>
      </c>
      <c r="H951" s="3" t="s">
        <v>32</v>
      </c>
      <c r="I951" s="25" t="str">
        <f>VLOOKUP(H951,Tabla5[#All],4,FALSE)</f>
        <v>-31,4148488101991, -64,1793406489438</v>
      </c>
      <c r="J951" s="1">
        <v>20997</v>
      </c>
      <c r="K951" s="7">
        <f>INT((crimenes_cordoba_ampliado[[#This Row],[Fecha]]-crimenes_cordoba_ampliado[[#This Row],[Fecha Nac. Delincuente]])/365)</f>
        <v>57</v>
      </c>
      <c r="L951" s="7" t="str">
        <f>_xlfn.XLOOKUP(crimenes_cordoba_ampliado[[#This Row],[EDAD DELINCUENTE]],'Rango etareo'!$A$10:$A$25,'Rango etareo'!$B$10:$B$25,,-1)</f>
        <v>56 - 65</v>
      </c>
      <c r="M951" s="3" t="s">
        <v>22</v>
      </c>
      <c r="N951" s="3" t="str">
        <f>IF(crimenes_cordoba_ampliado[[#This Row],[Género Delincuente]]="Femenino","🚺","🚹")</f>
        <v>🚹</v>
      </c>
      <c r="O951">
        <v>1</v>
      </c>
      <c r="P951" s="1">
        <v>22325</v>
      </c>
      <c r="Q951" s="7">
        <f>INT((crimenes_cordoba_ampliado[[#This Row],[Fecha]]-crimenes_cordoba_ampliado[[#This Row],[Fecha Nac. Víctima]])/365)</f>
        <v>54</v>
      </c>
      <c r="R951" s="7" t="str">
        <f>_xlfn.XLOOKUP(crimenes_cordoba_ampliado[[#This Row],[EDAD VICTIMA]],'Rango etareo'!$A$2:$A$25,'Rango etareo'!$B$2:$B$25,,-1)</f>
        <v>46 - 55</v>
      </c>
      <c r="S951" s="3" t="s">
        <v>21</v>
      </c>
      <c r="T951" s="3" t="str">
        <f>IF(crimenes_cordoba_ampliado[[#This Row],[Género Víctima]]="Masculino","🚹","🚺")</f>
        <v>🚺</v>
      </c>
      <c r="U951">
        <v>2</v>
      </c>
      <c r="V951" s="3" t="s">
        <v>23</v>
      </c>
      <c r="W951" s="3" t="s">
        <v>24</v>
      </c>
      <c r="X951" s="3" t="s">
        <v>24</v>
      </c>
      <c r="Y951" s="3" t="s">
        <v>69</v>
      </c>
      <c r="Z951" s="3" t="s">
        <v>23</v>
      </c>
      <c r="AA951" s="3" t="s">
        <v>25</v>
      </c>
      <c r="AB951" s="3" t="str">
        <f>IF(crimenes_cordoba_ampliado[[#This Row],[Hubo Arresto]]="Sí", "Resuelto", "Pendiente")</f>
        <v>Resuelto</v>
      </c>
      <c r="AC951" s="3" t="s">
        <v>59</v>
      </c>
      <c r="AD951" s="3"/>
    </row>
    <row r="952" spans="1:30" x14ac:dyDescent="0.25">
      <c r="A952">
        <v>953</v>
      </c>
      <c r="B952" s="1">
        <v>43668</v>
      </c>
      <c r="C952" s="33">
        <f t="shared" si="28"/>
        <v>43668</v>
      </c>
      <c r="D952" s="34">
        <f t="shared" si="29"/>
        <v>43668</v>
      </c>
      <c r="E952" s="35" t="s">
        <v>1452</v>
      </c>
      <c r="F952" s="2">
        <v>0.44236111111111109</v>
      </c>
      <c r="G952" s="3" t="s">
        <v>48</v>
      </c>
      <c r="H952" s="3" t="s">
        <v>62</v>
      </c>
      <c r="I952" s="25" t="str">
        <f>VLOOKUP(H952,Tabla5[#All],4,FALSE)</f>
        <v>-31,3909520937826, -64,1836424491715</v>
      </c>
      <c r="J952" s="1">
        <v>29877</v>
      </c>
      <c r="K952" s="7">
        <f>INT((crimenes_cordoba_ampliado[[#This Row],[Fecha]]-crimenes_cordoba_ampliado[[#This Row],[Fecha Nac. Delincuente]])/365)</f>
        <v>37</v>
      </c>
      <c r="L952" s="7" t="str">
        <f>_xlfn.XLOOKUP(crimenes_cordoba_ampliado[[#This Row],[EDAD DELINCUENTE]],'Rango etareo'!$A$10:$A$25,'Rango etareo'!$B$10:$B$25,,-1)</f>
        <v>36 - 45</v>
      </c>
      <c r="M952" s="3" t="s">
        <v>21</v>
      </c>
      <c r="N952" s="3" t="str">
        <f>IF(crimenes_cordoba_ampliado[[#This Row],[Género Delincuente]]="Femenino","🚺","🚹")</f>
        <v>🚺</v>
      </c>
      <c r="O952">
        <v>3</v>
      </c>
      <c r="P952" s="1">
        <v>28811</v>
      </c>
      <c r="Q952" s="7">
        <f>INT((crimenes_cordoba_ampliado[[#This Row],[Fecha]]-crimenes_cordoba_ampliado[[#This Row],[Fecha Nac. Víctima]])/365)</f>
        <v>40</v>
      </c>
      <c r="R952" s="7" t="str">
        <f>_xlfn.XLOOKUP(crimenes_cordoba_ampliado[[#This Row],[EDAD VICTIMA]],'Rango etareo'!$A$2:$A$25,'Rango etareo'!$B$2:$B$25,,-1)</f>
        <v>36 - 45</v>
      </c>
      <c r="S952" s="3" t="s">
        <v>22</v>
      </c>
      <c r="T952" s="3" t="str">
        <f>IF(crimenes_cordoba_ampliado[[#This Row],[Género Víctima]]="Masculino","🚹","🚺")</f>
        <v>🚹</v>
      </c>
      <c r="U952">
        <v>3</v>
      </c>
      <c r="V952" s="3" t="s">
        <v>23</v>
      </c>
      <c r="W952" s="3" t="s">
        <v>24</v>
      </c>
      <c r="X952" s="3" t="s">
        <v>24</v>
      </c>
      <c r="Y952" s="3" t="s">
        <v>72</v>
      </c>
      <c r="Z952" s="3" t="s">
        <v>25</v>
      </c>
      <c r="AA952" s="3" t="s">
        <v>25</v>
      </c>
      <c r="AB952" s="3" t="str">
        <f>IF(crimenes_cordoba_ampliado[[#This Row],[Hubo Arresto]]="Sí", "Resuelto", "Pendiente")</f>
        <v>Resuelto</v>
      </c>
      <c r="AC952" s="3" t="s">
        <v>324</v>
      </c>
      <c r="AD952" s="3"/>
    </row>
    <row r="953" spans="1:30" x14ac:dyDescent="0.25">
      <c r="A953">
        <v>956</v>
      </c>
      <c r="B953" s="1">
        <v>43985</v>
      </c>
      <c r="C953" s="33">
        <f t="shared" si="28"/>
        <v>43985</v>
      </c>
      <c r="D953" s="34">
        <f t="shared" si="29"/>
        <v>43985</v>
      </c>
      <c r="E953" s="35" t="s">
        <v>1450</v>
      </c>
      <c r="F953" s="2">
        <v>0.24652777777777779</v>
      </c>
      <c r="G953" s="3" t="s">
        <v>45</v>
      </c>
      <c r="H953" s="3" t="s">
        <v>62</v>
      </c>
      <c r="I953" s="25" t="str">
        <f>VLOOKUP(H953,Tabla5[#All],4,FALSE)</f>
        <v>-31,3909520937826, -64,1836424491715</v>
      </c>
      <c r="J953" s="1">
        <v>35253</v>
      </c>
      <c r="K953" s="7">
        <f>INT((crimenes_cordoba_ampliado[[#This Row],[Fecha]]-crimenes_cordoba_ampliado[[#This Row],[Fecha Nac. Delincuente]])/365)</f>
        <v>23</v>
      </c>
      <c r="L953" s="7" t="str">
        <f>_xlfn.XLOOKUP(crimenes_cordoba_ampliado[[#This Row],[EDAD DELINCUENTE]],'Rango etareo'!$A$10:$A$25,'Rango etareo'!$B$10:$B$25,,-1)</f>
        <v>18 - 25</v>
      </c>
      <c r="M953" s="3" t="s">
        <v>22</v>
      </c>
      <c r="N953" s="3" t="str">
        <f>IF(crimenes_cordoba_ampliado[[#This Row],[Género Delincuente]]="Femenino","🚺","🚹")</f>
        <v>🚹</v>
      </c>
      <c r="O953">
        <v>1</v>
      </c>
      <c r="P953" s="1">
        <v>24250</v>
      </c>
      <c r="Q953" s="7">
        <f>INT((crimenes_cordoba_ampliado[[#This Row],[Fecha]]-crimenes_cordoba_ampliado[[#This Row],[Fecha Nac. Víctima]])/365)</f>
        <v>54</v>
      </c>
      <c r="R953" s="7" t="str">
        <f>_xlfn.XLOOKUP(crimenes_cordoba_ampliado[[#This Row],[EDAD VICTIMA]],'Rango etareo'!$A$2:$A$25,'Rango etareo'!$B$2:$B$25,,-1)</f>
        <v>46 - 55</v>
      </c>
      <c r="S953" s="3" t="s">
        <v>21</v>
      </c>
      <c r="T953" s="3" t="str">
        <f>IF(crimenes_cordoba_ampliado[[#This Row],[Género Víctima]]="Masculino","🚹","🚺")</f>
        <v>🚺</v>
      </c>
      <c r="U953">
        <v>3</v>
      </c>
      <c r="V953" s="3" t="s">
        <v>23</v>
      </c>
      <c r="W953" s="3" t="s">
        <v>24</v>
      </c>
      <c r="X953" s="3" t="s">
        <v>24</v>
      </c>
      <c r="Y953" s="3" t="s">
        <v>24</v>
      </c>
      <c r="Z953" s="3" t="s">
        <v>23</v>
      </c>
      <c r="AA953" s="3" t="s">
        <v>25</v>
      </c>
      <c r="AB953" s="3" t="str">
        <f>IF(crimenes_cordoba_ampliado[[#This Row],[Hubo Arresto]]="Sí", "Resuelto", "Pendiente")</f>
        <v>Resuelto</v>
      </c>
      <c r="AC953" s="3" t="s">
        <v>125</v>
      </c>
      <c r="AD953" s="3"/>
    </row>
    <row r="954" spans="1:30" x14ac:dyDescent="0.25">
      <c r="A954">
        <v>269</v>
      </c>
      <c r="B954" s="1">
        <v>45498</v>
      </c>
      <c r="C954" s="33">
        <f t="shared" si="28"/>
        <v>45498</v>
      </c>
      <c r="D954" s="34">
        <f t="shared" si="29"/>
        <v>45498</v>
      </c>
      <c r="E954" s="35" t="s">
        <v>1454</v>
      </c>
      <c r="F954" s="2">
        <v>0.41458333333333336</v>
      </c>
      <c r="G954" s="3" t="s">
        <v>79</v>
      </c>
      <c r="H954" s="3" t="s">
        <v>60</v>
      </c>
      <c r="I954" s="25" t="str">
        <f>VLOOKUP(H954,Tabla5[#All],4,FALSE)</f>
        <v>-31,4076397196409, -64,2020170430678</v>
      </c>
      <c r="J954" s="1">
        <v>34417</v>
      </c>
      <c r="K954" s="7">
        <f>INT((crimenes_cordoba_ampliado[[#This Row],[Fecha]]-crimenes_cordoba_ampliado[[#This Row],[Fecha Nac. Delincuente]])/365)</f>
        <v>30</v>
      </c>
      <c r="L954" s="7" t="str">
        <f>_xlfn.XLOOKUP(crimenes_cordoba_ampliado[[#This Row],[EDAD DELINCUENTE]],'Rango etareo'!$A$10:$A$25,'Rango etareo'!$B$10:$B$25,,-1)</f>
        <v>26 - 35</v>
      </c>
      <c r="M954" s="3" t="s">
        <v>21</v>
      </c>
      <c r="N954" s="3" t="str">
        <f>IF(crimenes_cordoba_ampliado[[#This Row],[Género Delincuente]]="Femenino","🚺","🚹")</f>
        <v>🚺</v>
      </c>
      <c r="O954">
        <v>2</v>
      </c>
      <c r="P954" s="1">
        <v>33589</v>
      </c>
      <c r="Q954" s="7">
        <f>INT((crimenes_cordoba_ampliado[[#This Row],[Fecha]]-crimenes_cordoba_ampliado[[#This Row],[Fecha Nac. Víctima]])/365)</f>
        <v>32</v>
      </c>
      <c r="R954" s="7" t="str">
        <f>_xlfn.XLOOKUP(crimenes_cordoba_ampliado[[#This Row],[EDAD VICTIMA]],'Rango etareo'!$A$2:$A$25,'Rango etareo'!$B$2:$B$25,,-1)</f>
        <v>26 - 35</v>
      </c>
      <c r="S954" s="3" t="s">
        <v>22</v>
      </c>
      <c r="T954" s="3" t="str">
        <f>IF(crimenes_cordoba_ampliado[[#This Row],[Género Víctima]]="Masculino","🚹","🚺")</f>
        <v>🚹</v>
      </c>
      <c r="U954">
        <v>3</v>
      </c>
      <c r="V954" s="3" t="s">
        <v>25</v>
      </c>
      <c r="W954" s="3" t="s">
        <v>24</v>
      </c>
      <c r="X954" s="3" t="s">
        <v>24</v>
      </c>
      <c r="Y954" s="3" t="s">
        <v>43</v>
      </c>
      <c r="Z954" s="3" t="s">
        <v>25</v>
      </c>
      <c r="AA954" s="3" t="s">
        <v>23</v>
      </c>
      <c r="AB954" s="3" t="str">
        <f>IF(crimenes_cordoba_ampliado[[#This Row],[Hubo Arresto]]="Sí", "Resuelto", "Pendiente")</f>
        <v>Pendiente</v>
      </c>
      <c r="AC954" s="3" t="s">
        <v>24</v>
      </c>
      <c r="AD954" s="3"/>
    </row>
    <row r="955" spans="1:30" x14ac:dyDescent="0.25">
      <c r="A955">
        <v>957</v>
      </c>
      <c r="B955" s="1">
        <v>43399</v>
      </c>
      <c r="C955" s="33">
        <f t="shared" si="28"/>
        <v>43399</v>
      </c>
      <c r="D955" s="34">
        <f t="shared" si="29"/>
        <v>43399</v>
      </c>
      <c r="E955" s="35" t="s">
        <v>1455</v>
      </c>
      <c r="F955" s="2">
        <v>6.458333333333334E-2</v>
      </c>
      <c r="G955" s="3" t="s">
        <v>35</v>
      </c>
      <c r="H955" s="3" t="s">
        <v>58</v>
      </c>
      <c r="I955" s="25" t="str">
        <f>VLOOKUP(H955,Tabla5[#All],4,FALSE)</f>
        <v>-31,423018915313, -64,1493562190664</v>
      </c>
      <c r="J955" s="1">
        <v>34295</v>
      </c>
      <c r="K955" s="7">
        <f>INT((crimenes_cordoba_ampliado[[#This Row],[Fecha]]-crimenes_cordoba_ampliado[[#This Row],[Fecha Nac. Delincuente]])/365)</f>
        <v>24</v>
      </c>
      <c r="L955" s="7" t="str">
        <f>_xlfn.XLOOKUP(crimenes_cordoba_ampliado[[#This Row],[EDAD DELINCUENTE]],'Rango etareo'!$A$10:$A$25,'Rango etareo'!$B$10:$B$25,,-1)</f>
        <v>18 - 25</v>
      </c>
      <c r="M955" s="3" t="s">
        <v>22</v>
      </c>
      <c r="N955" s="3" t="str">
        <f>IF(crimenes_cordoba_ampliado[[#This Row],[Género Delincuente]]="Femenino","🚺","🚹")</f>
        <v>🚹</v>
      </c>
      <c r="O955">
        <v>1</v>
      </c>
      <c r="P955" s="1">
        <v>26791</v>
      </c>
      <c r="Q955" s="7">
        <f>INT((crimenes_cordoba_ampliado[[#This Row],[Fecha]]-crimenes_cordoba_ampliado[[#This Row],[Fecha Nac. Víctima]])/365)</f>
        <v>45</v>
      </c>
      <c r="R955" s="7" t="str">
        <f>_xlfn.XLOOKUP(crimenes_cordoba_ampliado[[#This Row],[EDAD VICTIMA]],'Rango etareo'!$A$2:$A$25,'Rango etareo'!$B$2:$B$25,,-1)</f>
        <v>36 - 45</v>
      </c>
      <c r="S955" s="3" t="s">
        <v>21</v>
      </c>
      <c r="T955" s="3" t="str">
        <f>IF(crimenes_cordoba_ampliado[[#This Row],[Género Víctima]]="Masculino","🚹","🚺")</f>
        <v>🚺</v>
      </c>
      <c r="U955">
        <v>3</v>
      </c>
      <c r="V955" s="3" t="s">
        <v>23</v>
      </c>
      <c r="W955" s="3" t="s">
        <v>24</v>
      </c>
      <c r="X955" s="3" t="s">
        <v>67</v>
      </c>
      <c r="Y955" s="3" t="s">
        <v>24</v>
      </c>
      <c r="Z955" s="3" t="s">
        <v>25</v>
      </c>
      <c r="AA955" s="3" t="s">
        <v>25</v>
      </c>
      <c r="AB955" s="3" t="str">
        <f>IF(crimenes_cordoba_ampliado[[#This Row],[Hubo Arresto]]="Sí", "Resuelto", "Pendiente")</f>
        <v>Resuelto</v>
      </c>
      <c r="AC955" s="3" t="s">
        <v>325</v>
      </c>
      <c r="AD955" s="3"/>
    </row>
    <row r="956" spans="1:30" x14ac:dyDescent="0.25">
      <c r="A956">
        <v>565</v>
      </c>
      <c r="B956" s="1">
        <v>45533</v>
      </c>
      <c r="C956" s="33">
        <f t="shared" si="28"/>
        <v>45533</v>
      </c>
      <c r="D956" s="34">
        <f t="shared" si="29"/>
        <v>45533</v>
      </c>
      <c r="E956" s="35" t="s">
        <v>1454</v>
      </c>
      <c r="F956" s="2">
        <v>0.88263888888888886</v>
      </c>
      <c r="G956" s="3" t="s">
        <v>27</v>
      </c>
      <c r="H956" s="3" t="s">
        <v>55</v>
      </c>
      <c r="I956" s="25" t="str">
        <f>VLOOKUP(H956,Tabla5[#All],4,FALSE)</f>
        <v>-31,4015892433235, -64,160442876477</v>
      </c>
      <c r="J956" s="1">
        <v>38209</v>
      </c>
      <c r="K956" s="7">
        <f>INT((crimenes_cordoba_ampliado[[#This Row],[Fecha]]-crimenes_cordoba_ampliado[[#This Row],[Fecha Nac. Delincuente]])/365)</f>
        <v>20</v>
      </c>
      <c r="L956" s="7" t="str">
        <f>_xlfn.XLOOKUP(crimenes_cordoba_ampliado[[#This Row],[EDAD DELINCUENTE]],'Rango etareo'!$A$10:$A$25,'Rango etareo'!$B$10:$B$25,,-1)</f>
        <v>18 - 25</v>
      </c>
      <c r="M956" s="3" t="s">
        <v>21</v>
      </c>
      <c r="N956" s="3" t="str">
        <f>IF(crimenes_cordoba_ampliado[[#This Row],[Género Delincuente]]="Femenino","🚺","🚹")</f>
        <v>🚺</v>
      </c>
      <c r="O956">
        <v>3</v>
      </c>
      <c r="P956" s="1">
        <v>32429</v>
      </c>
      <c r="Q956" s="7">
        <f>INT((crimenes_cordoba_ampliado[[#This Row],[Fecha]]-crimenes_cordoba_ampliado[[#This Row],[Fecha Nac. Víctima]])/365)</f>
        <v>35</v>
      </c>
      <c r="R956" s="7" t="str">
        <f>_xlfn.XLOOKUP(crimenes_cordoba_ampliado[[#This Row],[EDAD VICTIMA]],'Rango etareo'!$A$2:$A$25,'Rango etareo'!$B$2:$B$25,,-1)</f>
        <v>26 - 35</v>
      </c>
      <c r="S956" s="3" t="s">
        <v>21</v>
      </c>
      <c r="T956" s="3" t="str">
        <f>IF(crimenes_cordoba_ampliado[[#This Row],[Género Víctima]]="Masculino","🚹","🚺")</f>
        <v>🚺</v>
      </c>
      <c r="U956">
        <v>1</v>
      </c>
      <c r="V956" s="3" t="s">
        <v>25</v>
      </c>
      <c r="W956" s="3" t="s">
        <v>24</v>
      </c>
      <c r="X956" s="3" t="s">
        <v>24</v>
      </c>
      <c r="Y956" s="3" t="s">
        <v>106</v>
      </c>
      <c r="Z956" s="3" t="s">
        <v>23</v>
      </c>
      <c r="AA956" s="3" t="s">
        <v>25</v>
      </c>
      <c r="AB956" s="3" t="str">
        <f>IF(crimenes_cordoba_ampliado[[#This Row],[Hubo Arresto]]="Sí", "Resuelto", "Pendiente")</f>
        <v>Pendiente</v>
      </c>
      <c r="AC956" s="3" t="s">
        <v>24</v>
      </c>
      <c r="AD956" s="3"/>
    </row>
    <row r="957" spans="1:30" x14ac:dyDescent="0.25">
      <c r="A957">
        <v>959</v>
      </c>
      <c r="B957" s="1">
        <v>45224</v>
      </c>
      <c r="C957" s="33">
        <f t="shared" si="28"/>
        <v>45224</v>
      </c>
      <c r="D957" s="34">
        <f t="shared" si="29"/>
        <v>45224</v>
      </c>
      <c r="E957" s="35" t="s">
        <v>1450</v>
      </c>
      <c r="F957" s="2">
        <v>0.35069444444444442</v>
      </c>
      <c r="G957" s="3" t="s">
        <v>19</v>
      </c>
      <c r="H957" s="3" t="s">
        <v>40</v>
      </c>
      <c r="I957" s="25" t="str">
        <f>VLOOKUP(H957,Tabla5[#All],4,FALSE)</f>
        <v>-31,334500143441, -64,2460773260564</v>
      </c>
      <c r="J957" s="1">
        <v>18273</v>
      </c>
      <c r="K957" s="7">
        <f>INT((crimenes_cordoba_ampliado[[#This Row],[Fecha]]-crimenes_cordoba_ampliado[[#This Row],[Fecha Nac. Delincuente]])/365)</f>
        <v>73</v>
      </c>
      <c r="L957" s="7" t="str">
        <f>_xlfn.XLOOKUP(crimenes_cordoba_ampliado[[#This Row],[EDAD DELINCUENTE]],'Rango etareo'!$A$10:$A$25,'Rango etareo'!$B$10:$B$25,,-1)</f>
        <v>&gt;65</v>
      </c>
      <c r="M957" s="3" t="s">
        <v>21</v>
      </c>
      <c r="N957" s="3" t="str">
        <f>IF(crimenes_cordoba_ampliado[[#This Row],[Género Delincuente]]="Femenino","🚺","🚹")</f>
        <v>🚺</v>
      </c>
      <c r="O957">
        <v>4</v>
      </c>
      <c r="P957" s="1">
        <v>19732</v>
      </c>
      <c r="Q957" s="7">
        <f>INT((crimenes_cordoba_ampliado[[#This Row],[Fecha]]-crimenes_cordoba_ampliado[[#This Row],[Fecha Nac. Víctima]])/365)</f>
        <v>69</v>
      </c>
      <c r="R957" s="7" t="str">
        <f>_xlfn.XLOOKUP(crimenes_cordoba_ampliado[[#This Row],[EDAD VICTIMA]],'Rango etareo'!$A$2:$A$25,'Rango etareo'!$B$2:$B$25,,-1)</f>
        <v>&gt;65</v>
      </c>
      <c r="S957" s="3" t="s">
        <v>21</v>
      </c>
      <c r="T957" s="3" t="str">
        <f>IF(crimenes_cordoba_ampliado[[#This Row],[Género Víctima]]="Masculino","🚹","🚺")</f>
        <v>🚺</v>
      </c>
      <c r="U957">
        <v>2</v>
      </c>
      <c r="V957" s="3" t="s">
        <v>23</v>
      </c>
      <c r="W957" s="3" t="s">
        <v>24</v>
      </c>
      <c r="X957" s="3" t="s">
        <v>24</v>
      </c>
      <c r="Y957" s="3" t="s">
        <v>24</v>
      </c>
      <c r="Z957" s="3" t="s">
        <v>23</v>
      </c>
      <c r="AA957" s="3" t="s">
        <v>25</v>
      </c>
      <c r="AB957" s="3" t="str">
        <f>IF(crimenes_cordoba_ampliado[[#This Row],[Hubo Arresto]]="Sí", "Resuelto", "Pendiente")</f>
        <v>Resuelto</v>
      </c>
      <c r="AC957" s="3" t="s">
        <v>326</v>
      </c>
      <c r="AD957" s="3"/>
    </row>
    <row r="958" spans="1:30" x14ac:dyDescent="0.25">
      <c r="A958">
        <v>960</v>
      </c>
      <c r="B958" s="1">
        <v>44370</v>
      </c>
      <c r="C958" s="33">
        <f t="shared" si="28"/>
        <v>44370</v>
      </c>
      <c r="D958" s="34">
        <f t="shared" si="29"/>
        <v>44370</v>
      </c>
      <c r="E958" s="35" t="s">
        <v>1450</v>
      </c>
      <c r="F958" s="2">
        <v>0.55347222222222225</v>
      </c>
      <c r="G958" s="3" t="s">
        <v>48</v>
      </c>
      <c r="H958" s="3" t="s">
        <v>62</v>
      </c>
      <c r="I958" s="25" t="str">
        <f>VLOOKUP(H958,Tabla5[#All],4,FALSE)</f>
        <v>-31,3909520937826, -64,1836424491715</v>
      </c>
      <c r="J958" s="1">
        <v>36992</v>
      </c>
      <c r="K958" s="7">
        <f>INT((crimenes_cordoba_ampliado[[#This Row],[Fecha]]-crimenes_cordoba_ampliado[[#This Row],[Fecha Nac. Delincuente]])/365)</f>
        <v>20</v>
      </c>
      <c r="L958" s="7" t="str">
        <f>_xlfn.XLOOKUP(crimenes_cordoba_ampliado[[#This Row],[EDAD DELINCUENTE]],'Rango etareo'!$A$10:$A$25,'Rango etareo'!$B$10:$B$25,,-1)</f>
        <v>18 - 25</v>
      </c>
      <c r="M958" s="3" t="s">
        <v>22</v>
      </c>
      <c r="N958" s="3" t="str">
        <f>IF(crimenes_cordoba_ampliado[[#This Row],[Género Delincuente]]="Femenino","🚺","🚹")</f>
        <v>🚹</v>
      </c>
      <c r="O958">
        <v>4</v>
      </c>
      <c r="P958" s="1">
        <v>20817</v>
      </c>
      <c r="Q958" s="7">
        <f>INT((crimenes_cordoba_ampliado[[#This Row],[Fecha]]-crimenes_cordoba_ampliado[[#This Row],[Fecha Nac. Víctima]])/365)</f>
        <v>64</v>
      </c>
      <c r="R958" s="7" t="str">
        <f>_xlfn.XLOOKUP(crimenes_cordoba_ampliado[[#This Row],[EDAD VICTIMA]],'Rango etareo'!$A$2:$A$25,'Rango etareo'!$B$2:$B$25,,-1)</f>
        <v>56 - 65</v>
      </c>
      <c r="S958" s="3" t="s">
        <v>21</v>
      </c>
      <c r="T958" s="3" t="str">
        <f>IF(crimenes_cordoba_ampliado[[#This Row],[Género Víctima]]="Masculino","🚹","🚺")</f>
        <v>🚺</v>
      </c>
      <c r="U958">
        <v>3</v>
      </c>
      <c r="V958" s="3" t="s">
        <v>23</v>
      </c>
      <c r="W958" s="3" t="s">
        <v>24</v>
      </c>
      <c r="X958" s="3" t="s">
        <v>24</v>
      </c>
      <c r="Y958" s="3" t="s">
        <v>69</v>
      </c>
      <c r="Z958" s="3" t="s">
        <v>25</v>
      </c>
      <c r="AA958" s="3" t="s">
        <v>25</v>
      </c>
      <c r="AB958" s="3" t="str">
        <f>IF(crimenes_cordoba_ampliado[[#This Row],[Hubo Arresto]]="Sí", "Resuelto", "Pendiente")</f>
        <v>Resuelto</v>
      </c>
      <c r="AC958" s="3" t="s">
        <v>129</v>
      </c>
      <c r="AD958" s="3"/>
    </row>
    <row r="959" spans="1:30" x14ac:dyDescent="0.25">
      <c r="A959">
        <v>961</v>
      </c>
      <c r="B959" s="1">
        <v>44280</v>
      </c>
      <c r="C959" s="33">
        <f t="shared" si="28"/>
        <v>44280</v>
      </c>
      <c r="D959" s="34">
        <f t="shared" si="29"/>
        <v>44280</v>
      </c>
      <c r="E959" s="35" t="s">
        <v>1454</v>
      </c>
      <c r="F959" s="2">
        <v>0.94930555555555551</v>
      </c>
      <c r="G959" s="3" t="s">
        <v>42</v>
      </c>
      <c r="H959" s="3" t="s">
        <v>70</v>
      </c>
      <c r="I959" s="25" t="str">
        <f>VLOOKUP(H959,Tabla5[#All],4,FALSE)</f>
        <v>-31,3759272890294, -64,2284587792478</v>
      </c>
      <c r="J959" s="1">
        <v>24608</v>
      </c>
      <c r="K959" s="7">
        <f>INT((crimenes_cordoba_ampliado[[#This Row],[Fecha]]-crimenes_cordoba_ampliado[[#This Row],[Fecha Nac. Delincuente]])/365)</f>
        <v>53</v>
      </c>
      <c r="L959" s="7" t="str">
        <f>_xlfn.XLOOKUP(crimenes_cordoba_ampliado[[#This Row],[EDAD DELINCUENTE]],'Rango etareo'!$A$10:$A$25,'Rango etareo'!$B$10:$B$25,,-1)</f>
        <v>46 - 55</v>
      </c>
      <c r="M959" s="3" t="s">
        <v>21</v>
      </c>
      <c r="N959" s="3" t="str">
        <f>IF(crimenes_cordoba_ampliado[[#This Row],[Género Delincuente]]="Femenino","🚺","🚹")</f>
        <v>🚺</v>
      </c>
      <c r="O959">
        <v>2</v>
      </c>
      <c r="P959" s="1">
        <v>17365</v>
      </c>
      <c r="Q959" s="7">
        <f>INT((crimenes_cordoba_ampliado[[#This Row],[Fecha]]-crimenes_cordoba_ampliado[[#This Row],[Fecha Nac. Víctima]])/365)</f>
        <v>73</v>
      </c>
      <c r="R959" s="7" t="str">
        <f>_xlfn.XLOOKUP(crimenes_cordoba_ampliado[[#This Row],[EDAD VICTIMA]],'Rango etareo'!$A$2:$A$25,'Rango etareo'!$B$2:$B$25,,-1)</f>
        <v>&gt;65</v>
      </c>
      <c r="S959" s="3" t="s">
        <v>21</v>
      </c>
      <c r="T959" s="3" t="str">
        <f>IF(crimenes_cordoba_ampliado[[#This Row],[Género Víctima]]="Masculino","🚹","🚺")</f>
        <v>🚺</v>
      </c>
      <c r="U959">
        <v>3</v>
      </c>
      <c r="V959" s="3" t="s">
        <v>23</v>
      </c>
      <c r="W959" s="3" t="s">
        <v>71</v>
      </c>
      <c r="X959" s="3" t="s">
        <v>24</v>
      </c>
      <c r="Y959" s="3" t="s">
        <v>64</v>
      </c>
      <c r="Z959" s="3" t="s">
        <v>25</v>
      </c>
      <c r="AA959" s="3" t="s">
        <v>25</v>
      </c>
      <c r="AB959" s="3" t="str">
        <f>IF(crimenes_cordoba_ampliado[[#This Row],[Hubo Arresto]]="Sí", "Resuelto", "Pendiente")</f>
        <v>Resuelto</v>
      </c>
      <c r="AC959" s="3" t="s">
        <v>119</v>
      </c>
      <c r="AD959" s="3"/>
    </row>
    <row r="960" spans="1:30" x14ac:dyDescent="0.25">
      <c r="A960">
        <v>963</v>
      </c>
      <c r="B960" s="1">
        <v>43678</v>
      </c>
      <c r="C960" s="33">
        <f t="shared" si="28"/>
        <v>43678</v>
      </c>
      <c r="D960" s="34">
        <f t="shared" si="29"/>
        <v>43678</v>
      </c>
      <c r="E960" s="35" t="s">
        <v>1454</v>
      </c>
      <c r="F960" s="2">
        <v>0.85069444444444442</v>
      </c>
      <c r="G960" s="3" t="s">
        <v>38</v>
      </c>
      <c r="H960" s="3" t="s">
        <v>55</v>
      </c>
      <c r="I960" s="25" t="str">
        <f>VLOOKUP(H960,Tabla5[#All],4,FALSE)</f>
        <v>-31,4015892433235, -64,160442876477</v>
      </c>
      <c r="J960" s="1">
        <v>27733</v>
      </c>
      <c r="K960" s="7">
        <f>INT((crimenes_cordoba_ampliado[[#This Row],[Fecha]]-crimenes_cordoba_ampliado[[#This Row],[Fecha Nac. Delincuente]])/365)</f>
        <v>43</v>
      </c>
      <c r="L960" s="7" t="str">
        <f>_xlfn.XLOOKUP(crimenes_cordoba_ampliado[[#This Row],[EDAD DELINCUENTE]],'Rango etareo'!$A$10:$A$25,'Rango etareo'!$B$10:$B$25,,-1)</f>
        <v>36 - 45</v>
      </c>
      <c r="M960" s="3" t="s">
        <v>21</v>
      </c>
      <c r="N960" s="3" t="str">
        <f>IF(crimenes_cordoba_ampliado[[#This Row],[Género Delincuente]]="Femenino","🚺","🚹")</f>
        <v>🚺</v>
      </c>
      <c r="O960">
        <v>4</v>
      </c>
      <c r="P960" s="1">
        <v>35682</v>
      </c>
      <c r="Q960" s="7">
        <f>INT((crimenes_cordoba_ampliado[[#This Row],[Fecha]]-crimenes_cordoba_ampliado[[#This Row],[Fecha Nac. Víctima]])/365)</f>
        <v>21</v>
      </c>
      <c r="R960" s="7" t="str">
        <f>_xlfn.XLOOKUP(crimenes_cordoba_ampliado[[#This Row],[EDAD VICTIMA]],'Rango etareo'!$A$2:$A$25,'Rango etareo'!$B$2:$B$25,,-1)</f>
        <v>18 - 25</v>
      </c>
      <c r="S960" s="3" t="s">
        <v>22</v>
      </c>
      <c r="T960" s="3" t="str">
        <f>IF(crimenes_cordoba_ampliado[[#This Row],[Género Víctima]]="Masculino","🚹","🚺")</f>
        <v>🚹</v>
      </c>
      <c r="U960">
        <v>3</v>
      </c>
      <c r="V960" s="3" t="s">
        <v>23</v>
      </c>
      <c r="W960" s="3" t="s">
        <v>24</v>
      </c>
      <c r="X960" s="3" t="s">
        <v>24</v>
      </c>
      <c r="Y960" s="3" t="s">
        <v>133</v>
      </c>
      <c r="Z960" s="3" t="s">
        <v>23</v>
      </c>
      <c r="AA960" s="3" t="s">
        <v>25</v>
      </c>
      <c r="AB960" s="3" t="str">
        <f>IF(crimenes_cordoba_ampliado[[#This Row],[Hubo Arresto]]="Sí", "Resuelto", "Pendiente")</f>
        <v>Resuelto</v>
      </c>
      <c r="AC960" s="3" t="s">
        <v>235</v>
      </c>
      <c r="AD960" s="3"/>
    </row>
    <row r="961" spans="1:30" x14ac:dyDescent="0.25">
      <c r="A961">
        <v>764</v>
      </c>
      <c r="B961" s="1">
        <v>45562</v>
      </c>
      <c r="C961" s="33">
        <f t="shared" si="28"/>
        <v>45562</v>
      </c>
      <c r="D961" s="34">
        <f t="shared" si="29"/>
        <v>45562</v>
      </c>
      <c r="E961" s="35" t="s">
        <v>1455</v>
      </c>
      <c r="F961" s="2">
        <v>0.12152777777777778</v>
      </c>
      <c r="G961" s="3" t="s">
        <v>35</v>
      </c>
      <c r="H961" s="3" t="s">
        <v>58</v>
      </c>
      <c r="I961" s="25" t="str">
        <f>VLOOKUP(H961,Tabla5[#All],4,FALSE)</f>
        <v>-31,423018915313, -64,1493562190664</v>
      </c>
      <c r="J961" s="1">
        <v>35267</v>
      </c>
      <c r="K961" s="7">
        <f>INT((crimenes_cordoba_ampliado[[#This Row],[Fecha]]-crimenes_cordoba_ampliado[[#This Row],[Fecha Nac. Delincuente]])/365)</f>
        <v>28</v>
      </c>
      <c r="L961" s="7" t="str">
        <f>_xlfn.XLOOKUP(crimenes_cordoba_ampliado[[#This Row],[EDAD DELINCUENTE]],'Rango etareo'!$A$10:$A$25,'Rango etareo'!$B$10:$B$25,,-1)</f>
        <v>26 - 35</v>
      </c>
      <c r="M961" s="3" t="s">
        <v>21</v>
      </c>
      <c r="N961" s="3" t="str">
        <f>IF(crimenes_cordoba_ampliado[[#This Row],[Género Delincuente]]="Femenino","🚺","🚹")</f>
        <v>🚺</v>
      </c>
      <c r="O961">
        <v>4</v>
      </c>
      <c r="P961" s="1">
        <v>24690</v>
      </c>
      <c r="Q961" s="7">
        <f>INT((crimenes_cordoba_ampliado[[#This Row],[Fecha]]-crimenes_cordoba_ampliado[[#This Row],[Fecha Nac. Víctima]])/365)</f>
        <v>57</v>
      </c>
      <c r="R961" s="7" t="str">
        <f>_xlfn.XLOOKUP(crimenes_cordoba_ampliado[[#This Row],[EDAD VICTIMA]],'Rango etareo'!$A$2:$A$25,'Rango etareo'!$B$2:$B$25,,-1)</f>
        <v>56 - 65</v>
      </c>
      <c r="S961" s="3" t="s">
        <v>21</v>
      </c>
      <c r="T961" s="3" t="str">
        <f>IF(crimenes_cordoba_ampliado[[#This Row],[Género Víctima]]="Masculino","🚹","🚺")</f>
        <v>🚺</v>
      </c>
      <c r="U961">
        <v>3</v>
      </c>
      <c r="V961" s="3" t="s">
        <v>25</v>
      </c>
      <c r="W961" s="3" t="s">
        <v>24</v>
      </c>
      <c r="X961" s="3" t="s">
        <v>24</v>
      </c>
      <c r="Y961" s="3" t="s">
        <v>106</v>
      </c>
      <c r="Z961" s="3" t="s">
        <v>23</v>
      </c>
      <c r="AA961" s="3" t="s">
        <v>23</v>
      </c>
      <c r="AB961" s="3" t="str">
        <f>IF(crimenes_cordoba_ampliado[[#This Row],[Hubo Arresto]]="Sí", "Resuelto", "Pendiente")</f>
        <v>Pendiente</v>
      </c>
      <c r="AC961" s="3" t="s">
        <v>24</v>
      </c>
      <c r="AD961" s="3"/>
    </row>
    <row r="962" spans="1:30" x14ac:dyDescent="0.25">
      <c r="A962">
        <v>965</v>
      </c>
      <c r="B962" s="1">
        <v>42366</v>
      </c>
      <c r="C962" s="33">
        <f t="shared" ref="C962:C1025" si="30">B:B</f>
        <v>42366</v>
      </c>
      <c r="D962" s="34">
        <f t="shared" ref="D962:D1000" si="31">B:B</f>
        <v>42366</v>
      </c>
      <c r="E962" s="35" t="s">
        <v>1452</v>
      </c>
      <c r="F962" s="2">
        <v>0.50763888888888886</v>
      </c>
      <c r="G962" s="3" t="s">
        <v>35</v>
      </c>
      <c r="H962" s="3" t="s">
        <v>60</v>
      </c>
      <c r="I962" s="25" t="str">
        <f>VLOOKUP(H962,Tabla5[#All],4,FALSE)</f>
        <v>-31,4076397196409, -64,2020170430678</v>
      </c>
      <c r="J962" s="1">
        <v>30349</v>
      </c>
      <c r="K962" s="7">
        <f>INT((crimenes_cordoba_ampliado[[#This Row],[Fecha]]-crimenes_cordoba_ampliado[[#This Row],[Fecha Nac. Delincuente]])/365)</f>
        <v>32</v>
      </c>
      <c r="L962" s="7" t="str">
        <f>_xlfn.XLOOKUP(crimenes_cordoba_ampliado[[#This Row],[EDAD DELINCUENTE]],'Rango etareo'!$A$10:$A$25,'Rango etareo'!$B$10:$B$25,,-1)</f>
        <v>26 - 35</v>
      </c>
      <c r="M962" s="3" t="s">
        <v>22</v>
      </c>
      <c r="N962" s="3" t="str">
        <f>IF(crimenes_cordoba_ampliado[[#This Row],[Género Delincuente]]="Femenino","🚺","🚹")</f>
        <v>🚹</v>
      </c>
      <c r="O962">
        <v>3</v>
      </c>
      <c r="P962" s="1">
        <v>32785</v>
      </c>
      <c r="Q962" s="7">
        <f>INT((crimenes_cordoba_ampliado[[#This Row],[Fecha]]-crimenes_cordoba_ampliado[[#This Row],[Fecha Nac. Víctima]])/365)</f>
        <v>26</v>
      </c>
      <c r="R962" s="7" t="str">
        <f>_xlfn.XLOOKUP(crimenes_cordoba_ampliado[[#This Row],[EDAD VICTIMA]],'Rango etareo'!$A$2:$A$25,'Rango etareo'!$B$2:$B$25,,-1)</f>
        <v>26 - 35</v>
      </c>
      <c r="S962" s="3" t="s">
        <v>21</v>
      </c>
      <c r="T962" s="3" t="str">
        <f>IF(crimenes_cordoba_ampliado[[#This Row],[Género Víctima]]="Masculino","🚹","🚺")</f>
        <v>🚺</v>
      </c>
      <c r="U962">
        <v>2</v>
      </c>
      <c r="V962" s="3" t="s">
        <v>23</v>
      </c>
      <c r="W962" s="3" t="s">
        <v>24</v>
      </c>
      <c r="X962" s="3" t="s">
        <v>24</v>
      </c>
      <c r="Y962" s="3" t="s">
        <v>72</v>
      </c>
      <c r="Z962" s="3" t="s">
        <v>25</v>
      </c>
      <c r="AA962" s="3" t="s">
        <v>25</v>
      </c>
      <c r="AB962" s="3" t="str">
        <f>IF(crimenes_cordoba_ampliado[[#This Row],[Hubo Arresto]]="Sí", "Resuelto", "Pendiente")</f>
        <v>Resuelto</v>
      </c>
      <c r="AC962" s="3" t="s">
        <v>208</v>
      </c>
      <c r="AD962" s="3"/>
    </row>
    <row r="963" spans="1:30" x14ac:dyDescent="0.25">
      <c r="A963">
        <v>966</v>
      </c>
      <c r="B963" s="1">
        <v>44498</v>
      </c>
      <c r="C963" s="33">
        <f t="shared" si="30"/>
        <v>44498</v>
      </c>
      <c r="D963" s="34">
        <f t="shared" si="31"/>
        <v>44498</v>
      </c>
      <c r="E963" s="35" t="s">
        <v>1455</v>
      </c>
      <c r="F963" s="2">
        <v>0.26874999999999999</v>
      </c>
      <c r="G963" s="3" t="s">
        <v>42</v>
      </c>
      <c r="H963" s="3" t="s">
        <v>60</v>
      </c>
      <c r="I963" s="25" t="str">
        <f>VLOOKUP(H963,Tabla5[#All],4,FALSE)</f>
        <v>-31,4076397196409, -64,2020170430678</v>
      </c>
      <c r="J963" s="1">
        <v>21545</v>
      </c>
      <c r="K963" s="7">
        <f>INT((crimenes_cordoba_ampliado[[#This Row],[Fecha]]-crimenes_cordoba_ampliado[[#This Row],[Fecha Nac. Delincuente]])/365)</f>
        <v>62</v>
      </c>
      <c r="L963" s="7" t="str">
        <f>_xlfn.XLOOKUP(crimenes_cordoba_ampliado[[#This Row],[EDAD DELINCUENTE]],'Rango etareo'!$A$10:$A$25,'Rango etareo'!$B$10:$B$25,,-1)</f>
        <v>56 - 65</v>
      </c>
      <c r="M963" s="3" t="s">
        <v>22</v>
      </c>
      <c r="N963" s="3" t="str">
        <f>IF(crimenes_cordoba_ampliado[[#This Row],[Género Delincuente]]="Femenino","🚺","🚹")</f>
        <v>🚹</v>
      </c>
      <c r="O963">
        <v>3</v>
      </c>
      <c r="P963" s="1">
        <v>38374</v>
      </c>
      <c r="Q963" s="7">
        <f>INT((crimenes_cordoba_ampliado[[#This Row],[Fecha]]-crimenes_cordoba_ampliado[[#This Row],[Fecha Nac. Víctima]])/365)</f>
        <v>16</v>
      </c>
      <c r="R963" s="7" t="str">
        <f>_xlfn.XLOOKUP(crimenes_cordoba_ampliado[[#This Row],[EDAD VICTIMA]],'Rango etareo'!$A$2:$A$25,'Rango etareo'!$B$2:$B$25,,-1)</f>
        <v>&lt;=17</v>
      </c>
      <c r="S963" s="3" t="s">
        <v>21</v>
      </c>
      <c r="T963" s="3" t="str">
        <f>IF(crimenes_cordoba_ampliado[[#This Row],[Género Víctima]]="Masculino","🚹","🚺")</f>
        <v>🚺</v>
      </c>
      <c r="U963">
        <v>3</v>
      </c>
      <c r="V963" s="3" t="s">
        <v>23</v>
      </c>
      <c r="W963" s="3" t="s">
        <v>24</v>
      </c>
      <c r="X963" s="3" t="s">
        <v>29</v>
      </c>
      <c r="Y963" s="3" t="s">
        <v>24</v>
      </c>
      <c r="Z963" s="3" t="s">
        <v>25</v>
      </c>
      <c r="AA963" s="3" t="s">
        <v>23</v>
      </c>
      <c r="AB963" s="3" t="str">
        <f>IF(crimenes_cordoba_ampliado[[#This Row],[Hubo Arresto]]="Sí", "Resuelto", "Pendiente")</f>
        <v>Resuelto</v>
      </c>
      <c r="AC963" s="3" t="s">
        <v>149</v>
      </c>
      <c r="AD963" s="3"/>
    </row>
    <row r="964" spans="1:30" x14ac:dyDescent="0.25">
      <c r="A964">
        <v>310</v>
      </c>
      <c r="B964" s="1">
        <v>45568</v>
      </c>
      <c r="C964" s="33">
        <f t="shared" si="30"/>
        <v>45568</v>
      </c>
      <c r="D964" s="34">
        <f t="shared" si="31"/>
        <v>45568</v>
      </c>
      <c r="E964" s="35" t="s">
        <v>1454</v>
      </c>
      <c r="F964" s="2">
        <v>0.63194444444444442</v>
      </c>
      <c r="G964" s="3" t="s">
        <v>54</v>
      </c>
      <c r="H964" s="3" t="s">
        <v>60</v>
      </c>
      <c r="I964" s="25" t="str">
        <f>VLOOKUP(H964,Tabla5[#All],4,FALSE)</f>
        <v>-31,4076397196409, -64,2020170430678</v>
      </c>
      <c r="J964" s="1">
        <v>34438</v>
      </c>
      <c r="K964" s="7">
        <f>INT((crimenes_cordoba_ampliado[[#This Row],[Fecha]]-crimenes_cordoba_ampliado[[#This Row],[Fecha Nac. Delincuente]])/365)</f>
        <v>30</v>
      </c>
      <c r="L964" s="7" t="str">
        <f>_xlfn.XLOOKUP(crimenes_cordoba_ampliado[[#This Row],[EDAD DELINCUENTE]],'Rango etareo'!$A$10:$A$25,'Rango etareo'!$B$10:$B$25,,-1)</f>
        <v>26 - 35</v>
      </c>
      <c r="M964" s="3" t="s">
        <v>21</v>
      </c>
      <c r="N964" s="3" t="str">
        <f>IF(crimenes_cordoba_ampliado[[#This Row],[Género Delincuente]]="Femenino","🚺","🚹")</f>
        <v>🚺</v>
      </c>
      <c r="O964">
        <v>2</v>
      </c>
      <c r="P964" s="1">
        <v>23141</v>
      </c>
      <c r="Q964" s="7">
        <f>INT((crimenes_cordoba_ampliado[[#This Row],[Fecha]]-crimenes_cordoba_ampliado[[#This Row],[Fecha Nac. Víctima]])/365)</f>
        <v>61</v>
      </c>
      <c r="R964" s="7" t="str">
        <f>_xlfn.XLOOKUP(crimenes_cordoba_ampliado[[#This Row],[EDAD VICTIMA]],'Rango etareo'!$A$2:$A$25,'Rango etareo'!$B$2:$B$25,,-1)</f>
        <v>56 - 65</v>
      </c>
      <c r="S964" s="3" t="s">
        <v>22</v>
      </c>
      <c r="T964" s="3" t="str">
        <f>IF(crimenes_cordoba_ampliado[[#This Row],[Género Víctima]]="Masculino","🚹","🚺")</f>
        <v>🚹</v>
      </c>
      <c r="U964">
        <v>1</v>
      </c>
      <c r="V964" s="3" t="s">
        <v>25</v>
      </c>
      <c r="W964" s="3" t="s">
        <v>24</v>
      </c>
      <c r="X964" s="3" t="s">
        <v>24</v>
      </c>
      <c r="Y964" s="3" t="s">
        <v>86</v>
      </c>
      <c r="Z964" s="3" t="s">
        <v>25</v>
      </c>
      <c r="AA964" s="3" t="s">
        <v>23</v>
      </c>
      <c r="AB964" s="3" t="str">
        <f>IF(crimenes_cordoba_ampliado[[#This Row],[Hubo Arresto]]="Sí", "Resuelto", "Pendiente")</f>
        <v>Pendiente</v>
      </c>
      <c r="AC964" s="3" t="s">
        <v>24</v>
      </c>
      <c r="AD964" s="3"/>
    </row>
    <row r="965" spans="1:30" x14ac:dyDescent="0.25">
      <c r="A965">
        <v>969</v>
      </c>
      <c r="B965" s="1">
        <v>42801</v>
      </c>
      <c r="C965" s="33">
        <f t="shared" si="30"/>
        <v>42801</v>
      </c>
      <c r="D965" s="34">
        <f t="shared" si="31"/>
        <v>42801</v>
      </c>
      <c r="E965" s="35" t="s">
        <v>1453</v>
      </c>
      <c r="F965" s="2">
        <v>0.95347222222222228</v>
      </c>
      <c r="G965" s="3" t="s">
        <v>54</v>
      </c>
      <c r="H965" s="3" t="s">
        <v>58</v>
      </c>
      <c r="I965" s="25" t="str">
        <f>VLOOKUP(H965,Tabla5[#All],4,FALSE)</f>
        <v>-31,423018915313, -64,1493562190664</v>
      </c>
      <c r="J965" s="1">
        <v>19635</v>
      </c>
      <c r="K965" s="7">
        <f>INT((crimenes_cordoba_ampliado[[#This Row],[Fecha]]-crimenes_cordoba_ampliado[[#This Row],[Fecha Nac. Delincuente]])/365)</f>
        <v>63</v>
      </c>
      <c r="L965" s="7" t="str">
        <f>_xlfn.XLOOKUP(crimenes_cordoba_ampliado[[#This Row],[EDAD DELINCUENTE]],'Rango etareo'!$A$10:$A$25,'Rango etareo'!$B$10:$B$25,,-1)</f>
        <v>56 - 65</v>
      </c>
      <c r="M965" s="3" t="s">
        <v>21</v>
      </c>
      <c r="N965" s="3" t="str">
        <f>IF(crimenes_cordoba_ampliado[[#This Row],[Género Delincuente]]="Femenino","🚺","🚹")</f>
        <v>🚺</v>
      </c>
      <c r="O965">
        <v>3</v>
      </c>
      <c r="P965" s="1">
        <v>29648</v>
      </c>
      <c r="Q965" s="7">
        <f>INT((crimenes_cordoba_ampliado[[#This Row],[Fecha]]-crimenes_cordoba_ampliado[[#This Row],[Fecha Nac. Víctima]])/365)</f>
        <v>36</v>
      </c>
      <c r="R965" s="7" t="str">
        <f>_xlfn.XLOOKUP(crimenes_cordoba_ampliado[[#This Row],[EDAD VICTIMA]],'Rango etareo'!$A$2:$A$25,'Rango etareo'!$B$2:$B$25,,-1)</f>
        <v>36 - 45</v>
      </c>
      <c r="S965" s="3" t="s">
        <v>21</v>
      </c>
      <c r="T965" s="3" t="str">
        <f>IF(crimenes_cordoba_ampliado[[#This Row],[Género Víctima]]="Masculino","🚹","🚺")</f>
        <v>🚺</v>
      </c>
      <c r="U965">
        <v>3</v>
      </c>
      <c r="V965" s="3" t="s">
        <v>23</v>
      </c>
      <c r="W965" s="3" t="s">
        <v>71</v>
      </c>
      <c r="X965" s="3" t="s">
        <v>24</v>
      </c>
      <c r="Y965" s="3" t="s">
        <v>77</v>
      </c>
      <c r="Z965" s="3" t="s">
        <v>25</v>
      </c>
      <c r="AA965" s="3" t="s">
        <v>23</v>
      </c>
      <c r="AB965" s="3" t="str">
        <f>IF(crimenes_cordoba_ampliado[[#This Row],[Hubo Arresto]]="Sí", "Resuelto", "Pendiente")</f>
        <v>Resuelto</v>
      </c>
      <c r="AC965" s="3" t="s">
        <v>179</v>
      </c>
      <c r="AD965" s="3"/>
    </row>
    <row r="966" spans="1:30" x14ac:dyDescent="0.25">
      <c r="A966">
        <v>971</v>
      </c>
      <c r="B966" s="1">
        <v>42342</v>
      </c>
      <c r="C966" s="33">
        <f t="shared" si="30"/>
        <v>42342</v>
      </c>
      <c r="D966" s="34">
        <f t="shared" si="31"/>
        <v>42342</v>
      </c>
      <c r="E966" s="35" t="s">
        <v>1455</v>
      </c>
      <c r="F966" s="2">
        <v>0.84375</v>
      </c>
      <c r="G966" s="3" t="s">
        <v>27</v>
      </c>
      <c r="H966" s="3" t="s">
        <v>40</v>
      </c>
      <c r="I966" s="25" t="str">
        <f>VLOOKUP(H966,Tabla5[#All],4,FALSE)</f>
        <v>-31,334500143441, -64,2460773260564</v>
      </c>
      <c r="J966" s="1">
        <v>24549</v>
      </c>
      <c r="K966" s="7">
        <f>INT((crimenes_cordoba_ampliado[[#This Row],[Fecha]]-crimenes_cordoba_ampliado[[#This Row],[Fecha Nac. Delincuente]])/365)</f>
        <v>48</v>
      </c>
      <c r="L966" s="7" t="str">
        <f>_xlfn.XLOOKUP(crimenes_cordoba_ampliado[[#This Row],[EDAD DELINCUENTE]],'Rango etareo'!$A$10:$A$25,'Rango etareo'!$B$10:$B$25,,-1)</f>
        <v>46 - 55</v>
      </c>
      <c r="M966" s="3" t="s">
        <v>21</v>
      </c>
      <c r="N966" s="3" t="str">
        <f>IF(crimenes_cordoba_ampliado[[#This Row],[Género Delincuente]]="Femenino","🚺","🚹")</f>
        <v>🚺</v>
      </c>
      <c r="O966">
        <v>3</v>
      </c>
      <c r="P966" s="1">
        <v>31082</v>
      </c>
      <c r="Q966" s="7">
        <f>INT((crimenes_cordoba_ampliado[[#This Row],[Fecha]]-crimenes_cordoba_ampliado[[#This Row],[Fecha Nac. Víctima]])/365)</f>
        <v>30</v>
      </c>
      <c r="R966" s="7" t="str">
        <f>_xlfn.XLOOKUP(crimenes_cordoba_ampliado[[#This Row],[EDAD VICTIMA]],'Rango etareo'!$A$2:$A$25,'Rango etareo'!$B$2:$B$25,,-1)</f>
        <v>26 - 35</v>
      </c>
      <c r="S966" s="3" t="s">
        <v>21</v>
      </c>
      <c r="T966" s="3" t="str">
        <f>IF(crimenes_cordoba_ampliado[[#This Row],[Género Víctima]]="Masculino","🚹","🚺")</f>
        <v>🚺</v>
      </c>
      <c r="U966">
        <v>1</v>
      </c>
      <c r="V966" s="3" t="s">
        <v>23</v>
      </c>
      <c r="W966" s="3" t="s">
        <v>24</v>
      </c>
      <c r="X966" s="3" t="s">
        <v>24</v>
      </c>
      <c r="Y966" s="3" t="s">
        <v>98</v>
      </c>
      <c r="Z966" s="3" t="s">
        <v>25</v>
      </c>
      <c r="AA966" s="3" t="s">
        <v>23</v>
      </c>
      <c r="AB966" s="3" t="str">
        <f>IF(crimenes_cordoba_ampliado[[#This Row],[Hubo Arresto]]="Sí", "Resuelto", "Pendiente")</f>
        <v>Resuelto</v>
      </c>
      <c r="AC966" s="3" t="s">
        <v>183</v>
      </c>
      <c r="AD966" s="3"/>
    </row>
    <row r="967" spans="1:30" x14ac:dyDescent="0.25">
      <c r="A967">
        <v>815</v>
      </c>
      <c r="B967" s="1">
        <v>45573</v>
      </c>
      <c r="C967" s="33">
        <f t="shared" si="30"/>
        <v>45573</v>
      </c>
      <c r="D967" s="34">
        <f t="shared" si="31"/>
        <v>45573</v>
      </c>
      <c r="E967" s="35" t="s">
        <v>1453</v>
      </c>
      <c r="F967" s="2">
        <v>0.19375000000000001</v>
      </c>
      <c r="G967" s="3" t="s">
        <v>81</v>
      </c>
      <c r="H967" s="3" t="s">
        <v>65</v>
      </c>
      <c r="I967" s="25" t="str">
        <f>VLOOKUP(H967,Tabla5[#All],4,FALSE)</f>
        <v>-31,4285567311661, -64,1853198281007</v>
      </c>
      <c r="J967" s="1">
        <v>35112</v>
      </c>
      <c r="K967" s="7">
        <f>INT((crimenes_cordoba_ampliado[[#This Row],[Fecha]]-crimenes_cordoba_ampliado[[#This Row],[Fecha Nac. Delincuente]])/365)</f>
        <v>28</v>
      </c>
      <c r="L967" s="7" t="str">
        <f>_xlfn.XLOOKUP(crimenes_cordoba_ampliado[[#This Row],[EDAD DELINCUENTE]],'Rango etareo'!$A$10:$A$25,'Rango etareo'!$B$10:$B$25,,-1)</f>
        <v>26 - 35</v>
      </c>
      <c r="M967" s="3" t="s">
        <v>21</v>
      </c>
      <c r="N967" s="3" t="str">
        <f>IF(crimenes_cordoba_ampliado[[#This Row],[Género Delincuente]]="Femenino","🚺","🚹")</f>
        <v>🚺</v>
      </c>
      <c r="O967">
        <v>5</v>
      </c>
      <c r="P967" s="1">
        <v>24476</v>
      </c>
      <c r="Q967" s="7">
        <f>INT((crimenes_cordoba_ampliado[[#This Row],[Fecha]]-crimenes_cordoba_ampliado[[#This Row],[Fecha Nac. Víctima]])/365)</f>
        <v>57</v>
      </c>
      <c r="R967" s="7" t="str">
        <f>_xlfn.XLOOKUP(crimenes_cordoba_ampliado[[#This Row],[EDAD VICTIMA]],'Rango etareo'!$A$2:$A$25,'Rango etareo'!$B$2:$B$25,,-1)</f>
        <v>56 - 65</v>
      </c>
      <c r="S967" s="3" t="s">
        <v>21</v>
      </c>
      <c r="T967" s="3" t="str">
        <f>IF(crimenes_cordoba_ampliado[[#This Row],[Género Víctima]]="Masculino","🚹","🚺")</f>
        <v>🚺</v>
      </c>
      <c r="U967">
        <v>1</v>
      </c>
      <c r="V967" s="3" t="s">
        <v>25</v>
      </c>
      <c r="W967" s="3" t="s">
        <v>24</v>
      </c>
      <c r="X967" s="3" t="s">
        <v>41</v>
      </c>
      <c r="Y967" s="3" t="s">
        <v>24</v>
      </c>
      <c r="Z967" s="3" t="s">
        <v>25</v>
      </c>
      <c r="AA967" s="3" t="s">
        <v>23</v>
      </c>
      <c r="AB967" s="3" t="str">
        <f>IF(crimenes_cordoba_ampliado[[#This Row],[Hubo Arresto]]="Sí", "Resuelto", "Pendiente")</f>
        <v>Pendiente</v>
      </c>
      <c r="AC967" s="3" t="s">
        <v>24</v>
      </c>
      <c r="AD967" s="3"/>
    </row>
    <row r="968" spans="1:30" x14ac:dyDescent="0.25">
      <c r="A968">
        <v>717</v>
      </c>
      <c r="B968" s="1">
        <v>45574</v>
      </c>
      <c r="C968" s="33">
        <f t="shared" si="30"/>
        <v>45574</v>
      </c>
      <c r="D968" s="34">
        <f t="shared" si="31"/>
        <v>45574</v>
      </c>
      <c r="E968" s="35" t="s">
        <v>1450</v>
      </c>
      <c r="F968" s="2">
        <v>5.7638888888888892E-2</v>
      </c>
      <c r="G968" s="3" t="s">
        <v>42</v>
      </c>
      <c r="H968" s="3" t="s">
        <v>70</v>
      </c>
      <c r="I968" s="25" t="str">
        <f>VLOOKUP(H968,Tabla5[#All],4,FALSE)</f>
        <v>-31,3759272890294, -64,2284587792478</v>
      </c>
      <c r="J968" s="1">
        <v>26630</v>
      </c>
      <c r="K968" s="7">
        <f>INT((crimenes_cordoba_ampliado[[#This Row],[Fecha]]-crimenes_cordoba_ampliado[[#This Row],[Fecha Nac. Delincuente]])/365)</f>
        <v>51</v>
      </c>
      <c r="L968" s="7" t="str">
        <f>_xlfn.XLOOKUP(crimenes_cordoba_ampliado[[#This Row],[EDAD DELINCUENTE]],'Rango etareo'!$A$10:$A$25,'Rango etareo'!$B$10:$B$25,,-1)</f>
        <v>46 - 55</v>
      </c>
      <c r="M968" s="3" t="s">
        <v>22</v>
      </c>
      <c r="N968" s="3" t="str">
        <f>IF(crimenes_cordoba_ampliado[[#This Row],[Género Delincuente]]="Femenino","🚺","🚹")</f>
        <v>🚹</v>
      </c>
      <c r="O968">
        <v>4</v>
      </c>
      <c r="P968" s="1">
        <v>14624</v>
      </c>
      <c r="Q968" s="7">
        <f>INT((crimenes_cordoba_ampliado[[#This Row],[Fecha]]-crimenes_cordoba_ampliado[[#This Row],[Fecha Nac. Víctima]])/365)</f>
        <v>84</v>
      </c>
      <c r="R968" s="7" t="str">
        <f>_xlfn.XLOOKUP(crimenes_cordoba_ampliado[[#This Row],[EDAD VICTIMA]],'Rango etareo'!$A$2:$A$25,'Rango etareo'!$B$2:$B$25,,-1)</f>
        <v>&gt;65</v>
      </c>
      <c r="S968" s="3" t="s">
        <v>22</v>
      </c>
      <c r="T968" s="3" t="str">
        <f>IF(crimenes_cordoba_ampliado[[#This Row],[Género Víctima]]="Masculino","🚹","🚺")</f>
        <v>🚹</v>
      </c>
      <c r="U968">
        <v>2</v>
      </c>
      <c r="V968" s="3" t="s">
        <v>25</v>
      </c>
      <c r="W968" s="3" t="s">
        <v>24</v>
      </c>
      <c r="X968" s="3" t="s">
        <v>24</v>
      </c>
      <c r="Y968" s="3" t="s">
        <v>24</v>
      </c>
      <c r="Z968" s="3" t="s">
        <v>23</v>
      </c>
      <c r="AA968" s="3" t="s">
        <v>25</v>
      </c>
      <c r="AB968" s="3" t="str">
        <f>IF(crimenes_cordoba_ampliado[[#This Row],[Hubo Arresto]]="Sí", "Resuelto", "Pendiente")</f>
        <v>Pendiente</v>
      </c>
      <c r="AC968" s="3" t="s">
        <v>24</v>
      </c>
      <c r="AD968" s="3"/>
    </row>
    <row r="969" spans="1:30" x14ac:dyDescent="0.25">
      <c r="A969">
        <v>972</v>
      </c>
      <c r="B969" s="1">
        <v>42492</v>
      </c>
      <c r="C969" s="33">
        <f t="shared" si="30"/>
        <v>42492</v>
      </c>
      <c r="D969" s="34">
        <f t="shared" si="31"/>
        <v>42492</v>
      </c>
      <c r="E969" s="35" t="s">
        <v>1452</v>
      </c>
      <c r="F969" s="2">
        <v>0.69513888888888886</v>
      </c>
      <c r="G969" s="3" t="s">
        <v>35</v>
      </c>
      <c r="H969" s="3" t="s">
        <v>62</v>
      </c>
      <c r="I969" s="25" t="str">
        <f>VLOOKUP(H969,Tabla5[#All],4,FALSE)</f>
        <v>-31,3909520937826, -64,1836424491715</v>
      </c>
      <c r="J969" s="1">
        <v>30463</v>
      </c>
      <c r="K969" s="7">
        <f>INT((crimenes_cordoba_ampliado[[#This Row],[Fecha]]-crimenes_cordoba_ampliado[[#This Row],[Fecha Nac. Delincuente]])/365)</f>
        <v>32</v>
      </c>
      <c r="L969" s="7" t="str">
        <f>_xlfn.XLOOKUP(crimenes_cordoba_ampliado[[#This Row],[EDAD DELINCUENTE]],'Rango etareo'!$A$10:$A$25,'Rango etareo'!$B$10:$B$25,,-1)</f>
        <v>26 - 35</v>
      </c>
      <c r="M969" s="3" t="s">
        <v>22</v>
      </c>
      <c r="N969" s="3" t="str">
        <f>IF(crimenes_cordoba_ampliado[[#This Row],[Género Delincuente]]="Femenino","🚺","🚹")</f>
        <v>🚹</v>
      </c>
      <c r="O969">
        <v>5</v>
      </c>
      <c r="P969" s="1">
        <v>26160</v>
      </c>
      <c r="Q969" s="7">
        <f>INT((crimenes_cordoba_ampliado[[#This Row],[Fecha]]-crimenes_cordoba_ampliado[[#This Row],[Fecha Nac. Víctima]])/365)</f>
        <v>44</v>
      </c>
      <c r="R969" s="7" t="str">
        <f>_xlfn.XLOOKUP(crimenes_cordoba_ampliado[[#This Row],[EDAD VICTIMA]],'Rango etareo'!$A$2:$A$25,'Rango etareo'!$B$2:$B$25,,-1)</f>
        <v>36 - 45</v>
      </c>
      <c r="S969" s="3" t="s">
        <v>22</v>
      </c>
      <c r="T969" s="3" t="str">
        <f>IF(crimenes_cordoba_ampliado[[#This Row],[Género Víctima]]="Masculino","🚹","🚺")</f>
        <v>🚹</v>
      </c>
      <c r="U969">
        <v>3</v>
      </c>
      <c r="V969" s="3" t="s">
        <v>23</v>
      </c>
      <c r="W969" s="3" t="s">
        <v>24</v>
      </c>
      <c r="X969" s="3" t="s">
        <v>24</v>
      </c>
      <c r="Y969" s="3" t="s">
        <v>69</v>
      </c>
      <c r="Z969" s="3" t="s">
        <v>25</v>
      </c>
      <c r="AA969" s="3" t="s">
        <v>25</v>
      </c>
      <c r="AB969" s="3" t="str">
        <f>IF(crimenes_cordoba_ampliado[[#This Row],[Hubo Arresto]]="Sí", "Resuelto", "Pendiente")</f>
        <v>Resuelto</v>
      </c>
      <c r="AC969" s="3" t="s">
        <v>327</v>
      </c>
      <c r="AD969" s="3"/>
    </row>
    <row r="970" spans="1:30" x14ac:dyDescent="0.25">
      <c r="A970">
        <v>973</v>
      </c>
      <c r="B970" s="1">
        <v>43146</v>
      </c>
      <c r="C970" s="33">
        <f t="shared" si="30"/>
        <v>43146</v>
      </c>
      <c r="D970" s="34">
        <f t="shared" si="31"/>
        <v>43146</v>
      </c>
      <c r="E970" s="35" t="s">
        <v>1454</v>
      </c>
      <c r="F970" s="2">
        <v>0.76666666666666672</v>
      </c>
      <c r="G970" s="3" t="s">
        <v>38</v>
      </c>
      <c r="H970" s="3" t="s">
        <v>62</v>
      </c>
      <c r="I970" s="25" t="str">
        <f>VLOOKUP(H970,Tabla5[#All],4,FALSE)</f>
        <v>-31,3909520937826, -64,1836424491715</v>
      </c>
      <c r="J970" s="1">
        <v>28669</v>
      </c>
      <c r="K970" s="7">
        <f>INT((crimenes_cordoba_ampliado[[#This Row],[Fecha]]-crimenes_cordoba_ampliado[[#This Row],[Fecha Nac. Delincuente]])/365)</f>
        <v>39</v>
      </c>
      <c r="L970" s="7" t="str">
        <f>_xlfn.XLOOKUP(crimenes_cordoba_ampliado[[#This Row],[EDAD DELINCUENTE]],'Rango etareo'!$A$10:$A$25,'Rango etareo'!$B$10:$B$25,,-1)</f>
        <v>36 - 45</v>
      </c>
      <c r="M970" s="3" t="s">
        <v>21</v>
      </c>
      <c r="N970" s="3" t="str">
        <f>IF(crimenes_cordoba_ampliado[[#This Row],[Género Delincuente]]="Femenino","🚺","🚹")</f>
        <v>🚺</v>
      </c>
      <c r="O970">
        <v>3</v>
      </c>
      <c r="P970" s="1">
        <v>27125</v>
      </c>
      <c r="Q970" s="7">
        <f>INT((crimenes_cordoba_ampliado[[#This Row],[Fecha]]-crimenes_cordoba_ampliado[[#This Row],[Fecha Nac. Víctima]])/365)</f>
        <v>43</v>
      </c>
      <c r="R970" s="7" t="str">
        <f>_xlfn.XLOOKUP(crimenes_cordoba_ampliado[[#This Row],[EDAD VICTIMA]],'Rango etareo'!$A$2:$A$25,'Rango etareo'!$B$2:$B$25,,-1)</f>
        <v>36 - 45</v>
      </c>
      <c r="S970" s="3" t="s">
        <v>21</v>
      </c>
      <c r="T970" s="3" t="str">
        <f>IF(crimenes_cordoba_ampliado[[#This Row],[Género Víctima]]="Masculino","🚹","🚺")</f>
        <v>🚺</v>
      </c>
      <c r="U970">
        <v>2</v>
      </c>
      <c r="V970" s="3" t="s">
        <v>23</v>
      </c>
      <c r="W970" s="3" t="s">
        <v>24</v>
      </c>
      <c r="X970" s="3" t="s">
        <v>67</v>
      </c>
      <c r="Y970" s="3" t="s">
        <v>24</v>
      </c>
      <c r="Z970" s="3" t="s">
        <v>25</v>
      </c>
      <c r="AA970" s="3" t="s">
        <v>25</v>
      </c>
      <c r="AB970" s="3" t="str">
        <f>IF(crimenes_cordoba_ampliado[[#This Row],[Hubo Arresto]]="Sí", "Resuelto", "Pendiente")</f>
        <v>Resuelto</v>
      </c>
      <c r="AC970" s="3" t="s">
        <v>129</v>
      </c>
      <c r="AD970" s="3"/>
    </row>
    <row r="971" spans="1:30" x14ac:dyDescent="0.25">
      <c r="A971">
        <v>746</v>
      </c>
      <c r="B971" s="1">
        <v>45578</v>
      </c>
      <c r="C971" s="33">
        <f t="shared" si="30"/>
        <v>45578</v>
      </c>
      <c r="D971" s="34">
        <f t="shared" si="31"/>
        <v>45578</v>
      </c>
      <c r="E971" s="35" t="s">
        <v>1449</v>
      </c>
      <c r="F971" s="2">
        <v>0.77430555555555558</v>
      </c>
      <c r="G971" s="3" t="s">
        <v>35</v>
      </c>
      <c r="H971" s="3" t="s">
        <v>32</v>
      </c>
      <c r="I971" s="25" t="str">
        <f>VLOOKUP(H971,Tabla5[#All],4,FALSE)</f>
        <v>-31,4148488101991, -64,1793406489438</v>
      </c>
      <c r="J971" s="1">
        <v>22117</v>
      </c>
      <c r="K971" s="7">
        <f>INT((crimenes_cordoba_ampliado[[#This Row],[Fecha]]-crimenes_cordoba_ampliado[[#This Row],[Fecha Nac. Delincuente]])/365)</f>
        <v>64</v>
      </c>
      <c r="L971" s="7" t="str">
        <f>_xlfn.XLOOKUP(crimenes_cordoba_ampliado[[#This Row],[EDAD DELINCUENTE]],'Rango etareo'!$A$10:$A$25,'Rango etareo'!$B$10:$B$25,,-1)</f>
        <v>56 - 65</v>
      </c>
      <c r="M971" s="3" t="s">
        <v>22</v>
      </c>
      <c r="N971" s="3" t="str">
        <f>IF(crimenes_cordoba_ampliado[[#This Row],[Género Delincuente]]="Femenino","🚺","🚹")</f>
        <v>🚹</v>
      </c>
      <c r="O971">
        <v>4</v>
      </c>
      <c r="P971" s="1">
        <v>33502</v>
      </c>
      <c r="Q971" s="7">
        <f>INT((crimenes_cordoba_ampliado[[#This Row],[Fecha]]-crimenes_cordoba_ampliado[[#This Row],[Fecha Nac. Víctima]])/365)</f>
        <v>33</v>
      </c>
      <c r="R971" s="7" t="str">
        <f>_xlfn.XLOOKUP(crimenes_cordoba_ampliado[[#This Row],[EDAD VICTIMA]],'Rango etareo'!$A$2:$A$25,'Rango etareo'!$B$2:$B$25,,-1)</f>
        <v>26 - 35</v>
      </c>
      <c r="S971" s="3" t="s">
        <v>22</v>
      </c>
      <c r="T971" s="3" t="str">
        <f>IF(crimenes_cordoba_ampliado[[#This Row],[Género Víctima]]="Masculino","🚹","🚺")</f>
        <v>🚹</v>
      </c>
      <c r="U971">
        <v>2</v>
      </c>
      <c r="V971" s="3" t="s">
        <v>25</v>
      </c>
      <c r="W971" s="3" t="s">
        <v>36</v>
      </c>
      <c r="X971" s="3" t="s">
        <v>24</v>
      </c>
      <c r="Y971" s="3" t="s">
        <v>64</v>
      </c>
      <c r="Z971" s="3" t="s">
        <v>25</v>
      </c>
      <c r="AA971" s="3" t="s">
        <v>23</v>
      </c>
      <c r="AB971" s="3" t="str">
        <f>IF(crimenes_cordoba_ampliado[[#This Row],[Hubo Arresto]]="Sí", "Resuelto", "Pendiente")</f>
        <v>Pendiente</v>
      </c>
      <c r="AC971" s="3" t="s">
        <v>24</v>
      </c>
      <c r="AD971" s="3"/>
    </row>
    <row r="972" spans="1:30" x14ac:dyDescent="0.25">
      <c r="A972">
        <v>884</v>
      </c>
      <c r="B972" s="1">
        <v>45584</v>
      </c>
      <c r="C972" s="33">
        <f t="shared" si="30"/>
        <v>45584</v>
      </c>
      <c r="D972" s="34">
        <f t="shared" si="31"/>
        <v>45584</v>
      </c>
      <c r="E972" s="35" t="s">
        <v>1451</v>
      </c>
      <c r="F972" s="2">
        <v>0.60624999999999996</v>
      </c>
      <c r="G972" s="3" t="s">
        <v>42</v>
      </c>
      <c r="H972" s="3" t="s">
        <v>55</v>
      </c>
      <c r="I972" s="25" t="str">
        <f>VLOOKUP(H972,Tabla5[#All],4,FALSE)</f>
        <v>-31,4015892433235, -64,160442876477</v>
      </c>
      <c r="J972" s="1">
        <v>23704</v>
      </c>
      <c r="K972" s="7">
        <f>INT((crimenes_cordoba_ampliado[[#This Row],[Fecha]]-crimenes_cordoba_ampliado[[#This Row],[Fecha Nac. Delincuente]])/365)</f>
        <v>59</v>
      </c>
      <c r="L972" s="7" t="str">
        <f>_xlfn.XLOOKUP(crimenes_cordoba_ampliado[[#This Row],[EDAD DELINCUENTE]],'Rango etareo'!$A$10:$A$25,'Rango etareo'!$B$10:$B$25,,-1)</f>
        <v>56 - 65</v>
      </c>
      <c r="M972" s="3" t="s">
        <v>22</v>
      </c>
      <c r="N972" s="3" t="str">
        <f>IF(crimenes_cordoba_ampliado[[#This Row],[Género Delincuente]]="Femenino","🚺","🚹")</f>
        <v>🚹</v>
      </c>
      <c r="O972">
        <v>3</v>
      </c>
      <c r="P972" s="1">
        <v>22411</v>
      </c>
      <c r="Q972" s="7">
        <f>INT((crimenes_cordoba_ampliado[[#This Row],[Fecha]]-crimenes_cordoba_ampliado[[#This Row],[Fecha Nac. Víctima]])/365)</f>
        <v>63</v>
      </c>
      <c r="R972" s="7" t="str">
        <f>_xlfn.XLOOKUP(crimenes_cordoba_ampliado[[#This Row],[EDAD VICTIMA]],'Rango etareo'!$A$2:$A$25,'Rango etareo'!$B$2:$B$25,,-1)</f>
        <v>56 - 65</v>
      </c>
      <c r="S972" s="3" t="s">
        <v>21</v>
      </c>
      <c r="T972" s="3" t="str">
        <f>IF(crimenes_cordoba_ampliado[[#This Row],[Género Víctima]]="Masculino","🚹","🚺")</f>
        <v>🚺</v>
      </c>
      <c r="U972">
        <v>2</v>
      </c>
      <c r="V972" s="3" t="s">
        <v>25</v>
      </c>
      <c r="W972" s="3" t="s">
        <v>24</v>
      </c>
      <c r="X972" s="3" t="s">
        <v>24</v>
      </c>
      <c r="Y972" s="3" t="s">
        <v>69</v>
      </c>
      <c r="Z972" s="3" t="s">
        <v>25</v>
      </c>
      <c r="AA972" s="3" t="s">
        <v>23</v>
      </c>
      <c r="AB972" s="3" t="str">
        <f>IF(crimenes_cordoba_ampliado[[#This Row],[Hubo Arresto]]="Sí", "Resuelto", "Pendiente")</f>
        <v>Pendiente</v>
      </c>
      <c r="AC972" s="3" t="s">
        <v>24</v>
      </c>
      <c r="AD972" s="3"/>
    </row>
    <row r="973" spans="1:30" x14ac:dyDescent="0.25">
      <c r="A973">
        <v>981</v>
      </c>
      <c r="B973" s="1">
        <v>45585</v>
      </c>
      <c r="C973" s="33">
        <f t="shared" si="30"/>
        <v>45585</v>
      </c>
      <c r="D973" s="34">
        <f t="shared" si="31"/>
        <v>45585</v>
      </c>
      <c r="E973" s="35" t="s">
        <v>1449</v>
      </c>
      <c r="F973" s="2">
        <v>0.89513888888888893</v>
      </c>
      <c r="G973" s="3" t="s">
        <v>31</v>
      </c>
      <c r="H973" s="3" t="s">
        <v>70</v>
      </c>
      <c r="I973" s="25" t="str">
        <f>VLOOKUP(H973,Tabla5[#All],4,FALSE)</f>
        <v>-31,3759272890294, -64,2284587792478</v>
      </c>
      <c r="J973" s="1">
        <v>28694</v>
      </c>
      <c r="K973" s="7">
        <f>INT((crimenes_cordoba_ampliado[[#This Row],[Fecha]]-crimenes_cordoba_ampliado[[#This Row],[Fecha Nac. Delincuente]])/365)</f>
        <v>46</v>
      </c>
      <c r="L973" s="7" t="str">
        <f>_xlfn.XLOOKUP(crimenes_cordoba_ampliado[[#This Row],[EDAD DELINCUENTE]],'Rango etareo'!$A$10:$A$25,'Rango etareo'!$B$10:$B$25,,-1)</f>
        <v>46 - 55</v>
      </c>
      <c r="M973" s="3" t="s">
        <v>21</v>
      </c>
      <c r="N973" s="3" t="str">
        <f>IF(crimenes_cordoba_ampliado[[#This Row],[Género Delincuente]]="Femenino","🚺","🚹")</f>
        <v>🚺</v>
      </c>
      <c r="O973">
        <v>1</v>
      </c>
      <c r="P973" s="1">
        <v>16518</v>
      </c>
      <c r="Q973" s="7">
        <f>INT((crimenes_cordoba_ampliado[[#This Row],[Fecha]]-crimenes_cordoba_ampliado[[#This Row],[Fecha Nac. Víctima]])/365)</f>
        <v>79</v>
      </c>
      <c r="R973" s="7" t="str">
        <f>_xlfn.XLOOKUP(crimenes_cordoba_ampliado[[#This Row],[EDAD VICTIMA]],'Rango etareo'!$A$2:$A$25,'Rango etareo'!$B$2:$B$25,,-1)</f>
        <v>&gt;65</v>
      </c>
      <c r="S973" s="3" t="s">
        <v>22</v>
      </c>
      <c r="T973" s="3" t="str">
        <f>IF(crimenes_cordoba_ampliado[[#This Row],[Género Víctima]]="Masculino","🚹","🚺")</f>
        <v>🚹</v>
      </c>
      <c r="U973">
        <v>1</v>
      </c>
      <c r="V973" s="3" t="s">
        <v>25</v>
      </c>
      <c r="W973" s="3" t="s">
        <v>71</v>
      </c>
      <c r="X973" s="3" t="s">
        <v>24</v>
      </c>
      <c r="Y973" s="3" t="s">
        <v>64</v>
      </c>
      <c r="Z973" s="3" t="s">
        <v>25</v>
      </c>
      <c r="AA973" s="3" t="s">
        <v>23</v>
      </c>
      <c r="AB973" s="3" t="str">
        <f>IF(crimenes_cordoba_ampliado[[#This Row],[Hubo Arresto]]="Sí", "Resuelto", "Pendiente")</f>
        <v>Pendiente</v>
      </c>
      <c r="AC973" s="3" t="s">
        <v>24</v>
      </c>
      <c r="AD973" s="3"/>
    </row>
    <row r="974" spans="1:30" x14ac:dyDescent="0.25">
      <c r="A974">
        <v>773</v>
      </c>
      <c r="B974" s="1">
        <v>45586</v>
      </c>
      <c r="C974" s="33">
        <f t="shared" si="30"/>
        <v>45586</v>
      </c>
      <c r="D974" s="34">
        <f t="shared" si="31"/>
        <v>45586</v>
      </c>
      <c r="E974" s="35" t="s">
        <v>1452</v>
      </c>
      <c r="F974" s="2">
        <v>0.44791666666666669</v>
      </c>
      <c r="G974" s="3" t="s">
        <v>45</v>
      </c>
      <c r="H974" s="3" t="s">
        <v>60</v>
      </c>
      <c r="I974" s="25" t="str">
        <f>VLOOKUP(H974,Tabla5[#All],4,FALSE)</f>
        <v>-31,4076397196409, -64,2020170430678</v>
      </c>
      <c r="J974" s="1">
        <v>27608</v>
      </c>
      <c r="K974" s="7">
        <f>INT((crimenes_cordoba_ampliado[[#This Row],[Fecha]]-crimenes_cordoba_ampliado[[#This Row],[Fecha Nac. Delincuente]])/365)</f>
        <v>49</v>
      </c>
      <c r="L974" s="7" t="str">
        <f>_xlfn.XLOOKUP(crimenes_cordoba_ampliado[[#This Row],[EDAD DELINCUENTE]],'Rango etareo'!$A$10:$A$25,'Rango etareo'!$B$10:$B$25,,-1)</f>
        <v>46 - 55</v>
      </c>
      <c r="M974" s="3" t="s">
        <v>22</v>
      </c>
      <c r="N974" s="3" t="str">
        <f>IF(crimenes_cordoba_ampliado[[#This Row],[Género Delincuente]]="Femenino","🚺","🚹")</f>
        <v>🚹</v>
      </c>
      <c r="O974">
        <v>5</v>
      </c>
      <c r="P974" s="1">
        <v>15185</v>
      </c>
      <c r="Q974" s="7">
        <f>INT((crimenes_cordoba_ampliado[[#This Row],[Fecha]]-crimenes_cordoba_ampliado[[#This Row],[Fecha Nac. Víctima]])/365)</f>
        <v>83</v>
      </c>
      <c r="R974" s="7" t="str">
        <f>_xlfn.XLOOKUP(crimenes_cordoba_ampliado[[#This Row],[EDAD VICTIMA]],'Rango etareo'!$A$2:$A$25,'Rango etareo'!$B$2:$B$25,,-1)</f>
        <v>&gt;65</v>
      </c>
      <c r="S974" s="3" t="s">
        <v>21</v>
      </c>
      <c r="T974" s="3" t="str">
        <f>IF(crimenes_cordoba_ampliado[[#This Row],[Género Víctima]]="Masculino","🚹","🚺")</f>
        <v>🚺</v>
      </c>
      <c r="U974">
        <v>2</v>
      </c>
      <c r="V974" s="3" t="s">
        <v>25</v>
      </c>
      <c r="W974" s="3" t="s">
        <v>24</v>
      </c>
      <c r="X974" s="3" t="s">
        <v>24</v>
      </c>
      <c r="Y974" s="3" t="s">
        <v>43</v>
      </c>
      <c r="Z974" s="3" t="s">
        <v>25</v>
      </c>
      <c r="AA974" s="3" t="s">
        <v>23</v>
      </c>
      <c r="AB974" s="3" t="str">
        <f>IF(crimenes_cordoba_ampliado[[#This Row],[Hubo Arresto]]="Sí", "Resuelto", "Pendiente")</f>
        <v>Pendiente</v>
      </c>
      <c r="AC974" s="3" t="s">
        <v>24</v>
      </c>
      <c r="AD974" s="3"/>
    </row>
    <row r="975" spans="1:30" x14ac:dyDescent="0.25">
      <c r="A975">
        <v>464</v>
      </c>
      <c r="B975" s="1">
        <v>45587</v>
      </c>
      <c r="C975" s="33">
        <f t="shared" si="30"/>
        <v>45587</v>
      </c>
      <c r="D975" s="34">
        <f t="shared" si="31"/>
        <v>45587</v>
      </c>
      <c r="E975" s="35" t="s">
        <v>1453</v>
      </c>
      <c r="F975" s="2">
        <v>0.87777777777777777</v>
      </c>
      <c r="G975" s="3" t="s">
        <v>79</v>
      </c>
      <c r="H975" s="3" t="s">
        <v>60</v>
      </c>
      <c r="I975" s="25" t="str">
        <f>VLOOKUP(H975,Tabla5[#All],4,FALSE)</f>
        <v>-31,4076397196409, -64,2020170430678</v>
      </c>
      <c r="J975" s="1">
        <v>24720</v>
      </c>
      <c r="K975" s="7">
        <f>INT((crimenes_cordoba_ampliado[[#This Row],[Fecha]]-crimenes_cordoba_ampliado[[#This Row],[Fecha Nac. Delincuente]])/365)</f>
        <v>57</v>
      </c>
      <c r="L975" s="7" t="str">
        <f>_xlfn.XLOOKUP(crimenes_cordoba_ampliado[[#This Row],[EDAD DELINCUENTE]],'Rango etareo'!$A$10:$A$25,'Rango etareo'!$B$10:$B$25,,-1)</f>
        <v>56 - 65</v>
      </c>
      <c r="M975" s="3" t="s">
        <v>22</v>
      </c>
      <c r="N975" s="3" t="str">
        <f>IF(crimenes_cordoba_ampliado[[#This Row],[Género Delincuente]]="Femenino","🚺","🚹")</f>
        <v>🚹</v>
      </c>
      <c r="O975">
        <v>3</v>
      </c>
      <c r="P975" s="1">
        <v>18398</v>
      </c>
      <c r="Q975" s="7">
        <f>INT((crimenes_cordoba_ampliado[[#This Row],[Fecha]]-crimenes_cordoba_ampliado[[#This Row],[Fecha Nac. Víctima]])/365)</f>
        <v>74</v>
      </c>
      <c r="R975" s="7" t="str">
        <f>_xlfn.XLOOKUP(crimenes_cordoba_ampliado[[#This Row],[EDAD VICTIMA]],'Rango etareo'!$A$2:$A$25,'Rango etareo'!$B$2:$B$25,,-1)</f>
        <v>&gt;65</v>
      </c>
      <c r="S975" s="3" t="s">
        <v>21</v>
      </c>
      <c r="T975" s="3" t="str">
        <f>IF(crimenes_cordoba_ampliado[[#This Row],[Género Víctima]]="Masculino","🚹","🚺")</f>
        <v>🚺</v>
      </c>
      <c r="U975">
        <v>1</v>
      </c>
      <c r="V975" s="3" t="s">
        <v>25</v>
      </c>
      <c r="W975" s="3" t="s">
        <v>83</v>
      </c>
      <c r="X975" s="3" t="s">
        <v>67</v>
      </c>
      <c r="Y975" s="3" t="s">
        <v>24</v>
      </c>
      <c r="Z975" s="3" t="s">
        <v>25</v>
      </c>
      <c r="AA975" s="3" t="s">
        <v>25</v>
      </c>
      <c r="AB975" s="3" t="str">
        <f>IF(crimenes_cordoba_ampliado[[#This Row],[Hubo Arresto]]="Sí", "Resuelto", "Pendiente")</f>
        <v>Pendiente</v>
      </c>
      <c r="AC975" s="3" t="s">
        <v>24</v>
      </c>
      <c r="AD975" s="3"/>
    </row>
    <row r="976" spans="1:30" x14ac:dyDescent="0.25">
      <c r="A976">
        <v>974</v>
      </c>
      <c r="B976" s="1">
        <v>43608</v>
      </c>
      <c r="C976" s="33">
        <f t="shared" si="30"/>
        <v>43608</v>
      </c>
      <c r="D976" s="34">
        <f t="shared" si="31"/>
        <v>43608</v>
      </c>
      <c r="E976" s="35" t="s">
        <v>1454</v>
      </c>
      <c r="F976" s="2">
        <v>0.98611111111111116</v>
      </c>
      <c r="G976" s="3" t="s">
        <v>81</v>
      </c>
      <c r="H976" s="3" t="s">
        <v>58</v>
      </c>
      <c r="I976" s="25" t="str">
        <f>VLOOKUP(H976,Tabla5[#All],4,FALSE)</f>
        <v>-31,423018915313, -64,1493562190664</v>
      </c>
      <c r="J976" s="1">
        <v>33794</v>
      </c>
      <c r="K976" s="7">
        <f>INT((crimenes_cordoba_ampliado[[#This Row],[Fecha]]-crimenes_cordoba_ampliado[[#This Row],[Fecha Nac. Delincuente]])/365)</f>
        <v>26</v>
      </c>
      <c r="L976" s="7" t="str">
        <f>_xlfn.XLOOKUP(crimenes_cordoba_ampliado[[#This Row],[EDAD DELINCUENTE]],'Rango etareo'!$A$10:$A$25,'Rango etareo'!$B$10:$B$25,,-1)</f>
        <v>26 - 35</v>
      </c>
      <c r="M976" s="3" t="s">
        <v>21</v>
      </c>
      <c r="N976" s="3" t="str">
        <f>IF(crimenes_cordoba_ampliado[[#This Row],[Género Delincuente]]="Femenino","🚺","🚹")</f>
        <v>🚺</v>
      </c>
      <c r="O976">
        <v>2</v>
      </c>
      <c r="P976" s="1">
        <v>35791</v>
      </c>
      <c r="Q976" s="7">
        <f>INT((crimenes_cordoba_ampliado[[#This Row],[Fecha]]-crimenes_cordoba_ampliado[[#This Row],[Fecha Nac. Víctima]])/365)</f>
        <v>21</v>
      </c>
      <c r="R976" s="7" t="str">
        <f>_xlfn.XLOOKUP(crimenes_cordoba_ampliado[[#This Row],[EDAD VICTIMA]],'Rango etareo'!$A$2:$A$25,'Rango etareo'!$B$2:$B$25,,-1)</f>
        <v>18 - 25</v>
      </c>
      <c r="S976" s="3" t="s">
        <v>21</v>
      </c>
      <c r="T976" s="3" t="str">
        <f>IF(crimenes_cordoba_ampliado[[#This Row],[Género Víctima]]="Masculino","🚹","🚺")</f>
        <v>🚺</v>
      </c>
      <c r="U976">
        <v>3</v>
      </c>
      <c r="V976" s="3" t="s">
        <v>23</v>
      </c>
      <c r="W976" s="3" t="s">
        <v>63</v>
      </c>
      <c r="X976" s="3" t="s">
        <v>24</v>
      </c>
      <c r="Y976" s="3" t="s">
        <v>101</v>
      </c>
      <c r="Z976" s="3" t="s">
        <v>23</v>
      </c>
      <c r="AA976" s="3" t="s">
        <v>25</v>
      </c>
      <c r="AB976" s="3" t="str">
        <f>IF(crimenes_cordoba_ampliado[[#This Row],[Hubo Arresto]]="Sí", "Resuelto", "Pendiente")</f>
        <v>Resuelto</v>
      </c>
      <c r="AC976" s="3" t="s">
        <v>328</v>
      </c>
      <c r="AD976" s="3"/>
    </row>
    <row r="977" spans="1:30" x14ac:dyDescent="0.25">
      <c r="A977">
        <v>77</v>
      </c>
      <c r="B977" s="1">
        <v>45598</v>
      </c>
      <c r="C977" s="33">
        <f t="shared" si="30"/>
        <v>45598</v>
      </c>
      <c r="D977" s="34">
        <f t="shared" si="31"/>
        <v>45598</v>
      </c>
      <c r="E977" s="35" t="s">
        <v>1451</v>
      </c>
      <c r="F977" s="2">
        <v>0.55902777777777779</v>
      </c>
      <c r="G977" s="3" t="s">
        <v>27</v>
      </c>
      <c r="H977" s="3" t="s">
        <v>49</v>
      </c>
      <c r="I977" s="25" t="str">
        <f>VLOOKUP(H977,Tabla5[#All],4,FALSE)</f>
        <v>-31,4506257494184, -64,1733054344705</v>
      </c>
      <c r="J977" s="1">
        <v>27777</v>
      </c>
      <c r="K977" s="7">
        <f>INT((crimenes_cordoba_ampliado[[#This Row],[Fecha]]-crimenes_cordoba_ampliado[[#This Row],[Fecha Nac. Delincuente]])/365)</f>
        <v>48</v>
      </c>
      <c r="L977" s="7" t="str">
        <f>_xlfn.XLOOKUP(crimenes_cordoba_ampliado[[#This Row],[EDAD DELINCUENTE]],'Rango etareo'!$A$10:$A$25,'Rango etareo'!$B$10:$B$25,,-1)</f>
        <v>46 - 55</v>
      </c>
      <c r="M977" s="3" t="s">
        <v>21</v>
      </c>
      <c r="N977" s="3" t="str">
        <f>IF(crimenes_cordoba_ampliado[[#This Row],[Género Delincuente]]="Femenino","🚺","🚹")</f>
        <v>🚺</v>
      </c>
      <c r="O977">
        <v>5</v>
      </c>
      <c r="P977" s="1">
        <v>16568</v>
      </c>
      <c r="Q977" s="7">
        <f>INT((crimenes_cordoba_ampliado[[#This Row],[Fecha]]-crimenes_cordoba_ampliado[[#This Row],[Fecha Nac. Víctima]])/365)</f>
        <v>79</v>
      </c>
      <c r="R977" s="7" t="str">
        <f>_xlfn.XLOOKUP(crimenes_cordoba_ampliado[[#This Row],[EDAD VICTIMA]],'Rango etareo'!$A$2:$A$25,'Rango etareo'!$B$2:$B$25,,-1)</f>
        <v>&gt;65</v>
      </c>
      <c r="S977" s="3" t="s">
        <v>22</v>
      </c>
      <c r="T977" s="3" t="str">
        <f>IF(crimenes_cordoba_ampliado[[#This Row],[Género Víctima]]="Masculino","🚹","🚺")</f>
        <v>🚹</v>
      </c>
      <c r="U977">
        <v>2</v>
      </c>
      <c r="V977" s="3" t="s">
        <v>25</v>
      </c>
      <c r="W977" s="3" t="s">
        <v>24</v>
      </c>
      <c r="X977" s="3" t="s">
        <v>24</v>
      </c>
      <c r="Y977" s="3" t="s">
        <v>56</v>
      </c>
      <c r="Z977" s="3" t="s">
        <v>25</v>
      </c>
      <c r="AA977" s="3" t="s">
        <v>25</v>
      </c>
      <c r="AB977" s="3" t="str">
        <f>IF(crimenes_cordoba_ampliado[[#This Row],[Hubo Arresto]]="Sí", "Resuelto", "Pendiente")</f>
        <v>Pendiente</v>
      </c>
      <c r="AC977" s="3" t="s">
        <v>24</v>
      </c>
      <c r="AD977" s="3"/>
    </row>
    <row r="978" spans="1:30" x14ac:dyDescent="0.25">
      <c r="A978">
        <v>806</v>
      </c>
      <c r="B978" s="1">
        <v>45603</v>
      </c>
      <c r="C978" s="33">
        <f t="shared" si="30"/>
        <v>45603</v>
      </c>
      <c r="D978" s="34">
        <f t="shared" si="31"/>
        <v>45603</v>
      </c>
      <c r="E978" s="35" t="s">
        <v>1454</v>
      </c>
      <c r="F978" s="2">
        <v>0.67152777777777772</v>
      </c>
      <c r="G978" s="3" t="s">
        <v>79</v>
      </c>
      <c r="H978" s="3" t="s">
        <v>65</v>
      </c>
      <c r="I978" s="25" t="str">
        <f>VLOOKUP(H978,Tabla5[#All],4,FALSE)</f>
        <v>-31,4285567311661, -64,1853198281007</v>
      </c>
      <c r="J978" s="1">
        <v>35499</v>
      </c>
      <c r="K978" s="7">
        <f>INT((crimenes_cordoba_ampliado[[#This Row],[Fecha]]-crimenes_cordoba_ampliado[[#This Row],[Fecha Nac. Delincuente]])/365)</f>
        <v>27</v>
      </c>
      <c r="L978" s="7" t="str">
        <f>_xlfn.XLOOKUP(crimenes_cordoba_ampliado[[#This Row],[EDAD DELINCUENTE]],'Rango etareo'!$A$10:$A$25,'Rango etareo'!$B$10:$B$25,,-1)</f>
        <v>26 - 35</v>
      </c>
      <c r="M978" s="3" t="s">
        <v>21</v>
      </c>
      <c r="N978" s="3" t="str">
        <f>IF(crimenes_cordoba_ampliado[[#This Row],[Género Delincuente]]="Femenino","🚺","🚹")</f>
        <v>🚺</v>
      </c>
      <c r="O978">
        <v>3</v>
      </c>
      <c r="P978" s="1">
        <v>31888</v>
      </c>
      <c r="Q978" s="7">
        <f>INT((crimenes_cordoba_ampliado[[#This Row],[Fecha]]-crimenes_cordoba_ampliado[[#This Row],[Fecha Nac. Víctima]])/365)</f>
        <v>37</v>
      </c>
      <c r="R978" s="7" t="str">
        <f>_xlfn.XLOOKUP(crimenes_cordoba_ampliado[[#This Row],[EDAD VICTIMA]],'Rango etareo'!$A$2:$A$25,'Rango etareo'!$B$2:$B$25,,-1)</f>
        <v>36 - 45</v>
      </c>
      <c r="S978" s="3" t="s">
        <v>21</v>
      </c>
      <c r="T978" s="3" t="str">
        <f>IF(crimenes_cordoba_ampliado[[#This Row],[Género Víctima]]="Masculino","🚹","🚺")</f>
        <v>🚺</v>
      </c>
      <c r="U978">
        <v>2</v>
      </c>
      <c r="V978" s="3" t="s">
        <v>25</v>
      </c>
      <c r="W978" s="3" t="s">
        <v>24</v>
      </c>
      <c r="X978" s="3" t="s">
        <v>24</v>
      </c>
      <c r="Y978" s="3" t="s">
        <v>43</v>
      </c>
      <c r="Z978" s="3" t="s">
        <v>23</v>
      </c>
      <c r="AA978" s="3" t="s">
        <v>25</v>
      </c>
      <c r="AB978" s="3" t="str">
        <f>IF(crimenes_cordoba_ampliado[[#This Row],[Hubo Arresto]]="Sí", "Resuelto", "Pendiente")</f>
        <v>Pendiente</v>
      </c>
      <c r="AC978" s="3" t="s">
        <v>24</v>
      </c>
      <c r="AD978" s="3"/>
    </row>
    <row r="979" spans="1:30" x14ac:dyDescent="0.25">
      <c r="A979">
        <v>745</v>
      </c>
      <c r="B979" s="1">
        <v>45605</v>
      </c>
      <c r="C979" s="33">
        <f t="shared" si="30"/>
        <v>45605</v>
      </c>
      <c r="D979" s="34">
        <f t="shared" si="31"/>
        <v>45605</v>
      </c>
      <c r="E979" s="35" t="s">
        <v>1451</v>
      </c>
      <c r="F979" s="2">
        <v>9.3055555555555558E-2</v>
      </c>
      <c r="G979" s="3" t="s">
        <v>42</v>
      </c>
      <c r="H979" s="3" t="s">
        <v>55</v>
      </c>
      <c r="I979" s="25" t="str">
        <f>VLOOKUP(H979,Tabla5[#All],4,FALSE)</f>
        <v>-31,4015892433235, -64,160442876477</v>
      </c>
      <c r="J979" s="1">
        <v>32806</v>
      </c>
      <c r="K979" s="7">
        <f>INT((crimenes_cordoba_ampliado[[#This Row],[Fecha]]-crimenes_cordoba_ampliado[[#This Row],[Fecha Nac. Delincuente]])/365)</f>
        <v>35</v>
      </c>
      <c r="L979" s="7" t="str">
        <f>_xlfn.XLOOKUP(crimenes_cordoba_ampliado[[#This Row],[EDAD DELINCUENTE]],'Rango etareo'!$A$10:$A$25,'Rango etareo'!$B$10:$B$25,,-1)</f>
        <v>26 - 35</v>
      </c>
      <c r="M979" s="3" t="s">
        <v>22</v>
      </c>
      <c r="N979" s="3" t="str">
        <f>IF(crimenes_cordoba_ampliado[[#This Row],[Género Delincuente]]="Femenino","🚺","🚹")</f>
        <v>🚹</v>
      </c>
      <c r="O979">
        <v>4</v>
      </c>
      <c r="P979" s="1">
        <v>17300</v>
      </c>
      <c r="Q979" s="7">
        <f>INT((crimenes_cordoba_ampliado[[#This Row],[Fecha]]-crimenes_cordoba_ampliado[[#This Row],[Fecha Nac. Víctima]])/365)</f>
        <v>77</v>
      </c>
      <c r="R979" s="7" t="str">
        <f>_xlfn.XLOOKUP(crimenes_cordoba_ampliado[[#This Row],[EDAD VICTIMA]],'Rango etareo'!$A$2:$A$25,'Rango etareo'!$B$2:$B$25,,-1)</f>
        <v>&gt;65</v>
      </c>
      <c r="S979" s="3" t="s">
        <v>21</v>
      </c>
      <c r="T979" s="3" t="str">
        <f>IF(crimenes_cordoba_ampliado[[#This Row],[Género Víctima]]="Masculino","🚹","🚺")</f>
        <v>🚺</v>
      </c>
      <c r="U979">
        <v>2</v>
      </c>
      <c r="V979" s="3" t="s">
        <v>25</v>
      </c>
      <c r="W979" s="3" t="s">
        <v>24</v>
      </c>
      <c r="X979" s="3" t="s">
        <v>24</v>
      </c>
      <c r="Y979" s="3" t="s">
        <v>46</v>
      </c>
      <c r="Z979" s="3" t="s">
        <v>25</v>
      </c>
      <c r="AA979" s="3" t="s">
        <v>25</v>
      </c>
      <c r="AB979" s="3" t="str">
        <f>IF(crimenes_cordoba_ampliado[[#This Row],[Hubo Arresto]]="Sí", "Resuelto", "Pendiente")</f>
        <v>Pendiente</v>
      </c>
      <c r="AC979" s="3" t="s">
        <v>24</v>
      </c>
      <c r="AD979" s="3"/>
    </row>
    <row r="980" spans="1:30" x14ac:dyDescent="0.25">
      <c r="A980">
        <v>945</v>
      </c>
      <c r="B980" s="1">
        <v>45606</v>
      </c>
      <c r="C980" s="33">
        <f t="shared" si="30"/>
        <v>45606</v>
      </c>
      <c r="D980" s="34">
        <f t="shared" si="31"/>
        <v>45606</v>
      </c>
      <c r="E980" s="35" t="s">
        <v>1449</v>
      </c>
      <c r="F980" s="2">
        <v>0.76597222222222228</v>
      </c>
      <c r="G980" s="3" t="s">
        <v>42</v>
      </c>
      <c r="H980" s="3" t="s">
        <v>20</v>
      </c>
      <c r="I980" s="25" t="str">
        <f>VLOOKUP(H980,Tabla5[#All],4,FALSE)</f>
        <v>-31,4800162965848, -64,2094200976892</v>
      </c>
      <c r="J980" s="1">
        <v>29984</v>
      </c>
      <c r="K980" s="7">
        <f>INT((crimenes_cordoba_ampliado[[#This Row],[Fecha]]-crimenes_cordoba_ampliado[[#This Row],[Fecha Nac. Delincuente]])/365)</f>
        <v>42</v>
      </c>
      <c r="L980" s="7" t="str">
        <f>_xlfn.XLOOKUP(crimenes_cordoba_ampliado[[#This Row],[EDAD DELINCUENTE]],'Rango etareo'!$A$10:$A$25,'Rango etareo'!$B$10:$B$25,,-1)</f>
        <v>36 - 45</v>
      </c>
      <c r="M980" s="3" t="s">
        <v>22</v>
      </c>
      <c r="N980" s="3" t="str">
        <f>IF(crimenes_cordoba_ampliado[[#This Row],[Género Delincuente]]="Femenino","🚺","🚹")</f>
        <v>🚹</v>
      </c>
      <c r="O980">
        <v>5</v>
      </c>
      <c r="P980" s="1">
        <v>22480</v>
      </c>
      <c r="Q980" s="7">
        <f>INT((crimenes_cordoba_ampliado[[#This Row],[Fecha]]-crimenes_cordoba_ampliado[[#This Row],[Fecha Nac. Víctima]])/365)</f>
        <v>63</v>
      </c>
      <c r="R980" s="7" t="str">
        <f>_xlfn.XLOOKUP(crimenes_cordoba_ampliado[[#This Row],[EDAD VICTIMA]],'Rango etareo'!$A$2:$A$25,'Rango etareo'!$B$2:$B$25,,-1)</f>
        <v>56 - 65</v>
      </c>
      <c r="S980" s="3" t="s">
        <v>21</v>
      </c>
      <c r="T980" s="3" t="str">
        <f>IF(crimenes_cordoba_ampliado[[#This Row],[Género Víctima]]="Masculino","🚹","🚺")</f>
        <v>🚺</v>
      </c>
      <c r="U980">
        <v>2</v>
      </c>
      <c r="V980" s="3" t="s">
        <v>25</v>
      </c>
      <c r="W980" s="3" t="s">
        <v>63</v>
      </c>
      <c r="X980" s="3" t="s">
        <v>50</v>
      </c>
      <c r="Y980" s="3" t="s">
        <v>24</v>
      </c>
      <c r="Z980" s="3" t="s">
        <v>25</v>
      </c>
      <c r="AA980" s="3" t="s">
        <v>25</v>
      </c>
      <c r="AB980" s="3" t="str">
        <f>IF(crimenes_cordoba_ampliado[[#This Row],[Hubo Arresto]]="Sí", "Resuelto", "Pendiente")</f>
        <v>Pendiente</v>
      </c>
      <c r="AC980" s="3" t="s">
        <v>24</v>
      </c>
      <c r="AD980" s="3"/>
    </row>
    <row r="981" spans="1:30" x14ac:dyDescent="0.25">
      <c r="A981">
        <v>975</v>
      </c>
      <c r="B981" s="1">
        <v>45618</v>
      </c>
      <c r="C981" s="33">
        <f t="shared" si="30"/>
        <v>45618</v>
      </c>
      <c r="D981" s="34">
        <f t="shared" si="31"/>
        <v>45618</v>
      </c>
      <c r="E981" s="35" t="s">
        <v>1455</v>
      </c>
      <c r="F981" s="2">
        <v>0.48194444444444445</v>
      </c>
      <c r="G981" s="3" t="s">
        <v>19</v>
      </c>
      <c r="H981" s="3" t="s">
        <v>55</v>
      </c>
      <c r="I981" s="25" t="str">
        <f>VLOOKUP(H981,Tabla5[#All],4,FALSE)</f>
        <v>-31,4015892433235, -64,160442876477</v>
      </c>
      <c r="J981" s="1">
        <v>36983</v>
      </c>
      <c r="K981" s="7">
        <f>INT((crimenes_cordoba_ampliado[[#This Row],[Fecha]]-crimenes_cordoba_ampliado[[#This Row],[Fecha Nac. Delincuente]])/365)</f>
        <v>23</v>
      </c>
      <c r="L981" s="7" t="str">
        <f>_xlfn.XLOOKUP(crimenes_cordoba_ampliado[[#This Row],[EDAD DELINCUENTE]],'Rango etareo'!$A$10:$A$25,'Rango etareo'!$B$10:$B$25,,-1)</f>
        <v>18 - 25</v>
      </c>
      <c r="M981" s="3" t="s">
        <v>21</v>
      </c>
      <c r="N981" s="3" t="str">
        <f>IF(crimenes_cordoba_ampliado[[#This Row],[Género Delincuente]]="Femenino","🚺","🚹")</f>
        <v>🚺</v>
      </c>
      <c r="O981">
        <v>5</v>
      </c>
      <c r="P981" s="1">
        <v>15476</v>
      </c>
      <c r="Q981" s="7">
        <f>INT((crimenes_cordoba_ampliado[[#This Row],[Fecha]]-crimenes_cordoba_ampliado[[#This Row],[Fecha Nac. Víctima]])/365)</f>
        <v>82</v>
      </c>
      <c r="R981" s="7" t="str">
        <f>_xlfn.XLOOKUP(crimenes_cordoba_ampliado[[#This Row],[EDAD VICTIMA]],'Rango etareo'!$A$2:$A$25,'Rango etareo'!$B$2:$B$25,,-1)</f>
        <v>&gt;65</v>
      </c>
      <c r="S981" s="3" t="s">
        <v>21</v>
      </c>
      <c r="T981" s="3" t="str">
        <f>IF(crimenes_cordoba_ampliado[[#This Row],[Género Víctima]]="Masculino","🚹","🚺")</f>
        <v>🚺</v>
      </c>
      <c r="U981">
        <v>1</v>
      </c>
      <c r="V981" s="3" t="s">
        <v>23</v>
      </c>
      <c r="W981" s="3" t="s">
        <v>24</v>
      </c>
      <c r="X981" s="3" t="s">
        <v>24</v>
      </c>
      <c r="Y981" s="3" t="s">
        <v>53</v>
      </c>
      <c r="Z981" s="3" t="s">
        <v>23</v>
      </c>
      <c r="AA981" s="3" t="s">
        <v>23</v>
      </c>
      <c r="AB981" s="3" t="str">
        <f>IF(crimenes_cordoba_ampliado[[#This Row],[Hubo Arresto]]="Sí", "Resuelto", "Pendiente")</f>
        <v>Resuelto</v>
      </c>
      <c r="AC981" s="3" t="s">
        <v>242</v>
      </c>
      <c r="AD981" s="3"/>
    </row>
    <row r="982" spans="1:30" x14ac:dyDescent="0.25">
      <c r="A982">
        <v>163</v>
      </c>
      <c r="B982" s="1">
        <v>45610</v>
      </c>
      <c r="C982" s="33">
        <f t="shared" si="30"/>
        <v>45610</v>
      </c>
      <c r="D982" s="34">
        <f t="shared" si="31"/>
        <v>45610</v>
      </c>
      <c r="E982" s="35" t="s">
        <v>1454</v>
      </c>
      <c r="F982" s="2">
        <v>0.38194444444444442</v>
      </c>
      <c r="G982" s="3" t="s">
        <v>27</v>
      </c>
      <c r="H982" s="3" t="s">
        <v>65</v>
      </c>
      <c r="I982" s="25" t="str">
        <f>VLOOKUP(H982,Tabla5[#All],4,FALSE)</f>
        <v>-31,4285567311661, -64,1853198281007</v>
      </c>
      <c r="J982" s="1">
        <v>37582</v>
      </c>
      <c r="K982" s="7">
        <f>INT((crimenes_cordoba_ampliado[[#This Row],[Fecha]]-crimenes_cordoba_ampliado[[#This Row],[Fecha Nac. Delincuente]])/365)</f>
        <v>21</v>
      </c>
      <c r="L982" s="7" t="str">
        <f>_xlfn.XLOOKUP(crimenes_cordoba_ampliado[[#This Row],[EDAD DELINCUENTE]],'Rango etareo'!$A$10:$A$25,'Rango etareo'!$B$10:$B$25,,-1)</f>
        <v>18 - 25</v>
      </c>
      <c r="M982" s="3" t="s">
        <v>21</v>
      </c>
      <c r="N982" s="3" t="str">
        <f>IF(crimenes_cordoba_ampliado[[#This Row],[Género Delincuente]]="Femenino","🚺","🚹")</f>
        <v>🚺</v>
      </c>
      <c r="O982">
        <v>4</v>
      </c>
      <c r="P982" s="1">
        <v>16701</v>
      </c>
      <c r="Q982" s="7">
        <f>INT((crimenes_cordoba_ampliado[[#This Row],[Fecha]]-crimenes_cordoba_ampliado[[#This Row],[Fecha Nac. Víctima]])/365)</f>
        <v>79</v>
      </c>
      <c r="R982" s="7" t="str">
        <f>_xlfn.XLOOKUP(crimenes_cordoba_ampliado[[#This Row],[EDAD VICTIMA]],'Rango etareo'!$A$2:$A$25,'Rango etareo'!$B$2:$B$25,,-1)</f>
        <v>&gt;65</v>
      </c>
      <c r="S982" s="3" t="s">
        <v>21</v>
      </c>
      <c r="T982" s="3" t="str">
        <f>IF(crimenes_cordoba_ampliado[[#This Row],[Género Víctima]]="Masculino","🚹","🚺")</f>
        <v>🚺</v>
      </c>
      <c r="U982">
        <v>3</v>
      </c>
      <c r="V982" s="3" t="s">
        <v>25</v>
      </c>
      <c r="W982" s="3" t="s">
        <v>24</v>
      </c>
      <c r="X982" s="3" t="s">
        <v>24</v>
      </c>
      <c r="Y982" s="3" t="s">
        <v>89</v>
      </c>
      <c r="Z982" s="3" t="s">
        <v>23</v>
      </c>
      <c r="AA982" s="3" t="s">
        <v>23</v>
      </c>
      <c r="AB982" s="3" t="str">
        <f>IF(crimenes_cordoba_ampliado[[#This Row],[Hubo Arresto]]="Sí", "Resuelto", "Pendiente")</f>
        <v>Pendiente</v>
      </c>
      <c r="AC982" s="3" t="s">
        <v>24</v>
      </c>
      <c r="AD982" s="3"/>
    </row>
    <row r="983" spans="1:30" x14ac:dyDescent="0.25">
      <c r="A983">
        <v>976</v>
      </c>
      <c r="B983" s="1">
        <v>44062</v>
      </c>
      <c r="C983" s="33">
        <f t="shared" si="30"/>
        <v>44062</v>
      </c>
      <c r="D983" s="34">
        <f t="shared" si="31"/>
        <v>44062</v>
      </c>
      <c r="E983" s="35" t="s">
        <v>1450</v>
      </c>
      <c r="F983" s="2">
        <v>0.41180555555555554</v>
      </c>
      <c r="G983" s="3" t="s">
        <v>79</v>
      </c>
      <c r="H983" s="3" t="s">
        <v>52</v>
      </c>
      <c r="I983" s="25" t="str">
        <f>VLOOKUP(H983,Tabla5[#All],4,FALSE)</f>
        <v>-31,3477902896523, -64,2644406169297</v>
      </c>
      <c r="J983" s="1">
        <v>26321</v>
      </c>
      <c r="K983" s="7">
        <f>INT((crimenes_cordoba_ampliado[[#This Row],[Fecha]]-crimenes_cordoba_ampliado[[#This Row],[Fecha Nac. Delincuente]])/365)</f>
        <v>48</v>
      </c>
      <c r="L983" s="7" t="str">
        <f>_xlfn.XLOOKUP(crimenes_cordoba_ampliado[[#This Row],[EDAD DELINCUENTE]],'Rango etareo'!$A$10:$A$25,'Rango etareo'!$B$10:$B$25,,-1)</f>
        <v>46 - 55</v>
      </c>
      <c r="M983" s="3" t="s">
        <v>22</v>
      </c>
      <c r="N983" s="3" t="str">
        <f>IF(crimenes_cordoba_ampliado[[#This Row],[Género Delincuente]]="Femenino","🚺","🚹")</f>
        <v>🚹</v>
      </c>
      <c r="O983">
        <v>2</v>
      </c>
      <c r="P983" s="1">
        <v>18795</v>
      </c>
      <c r="Q983" s="7">
        <f>INT((crimenes_cordoba_ampliado[[#This Row],[Fecha]]-crimenes_cordoba_ampliado[[#This Row],[Fecha Nac. Víctima]])/365)</f>
        <v>69</v>
      </c>
      <c r="R983" s="7" t="str">
        <f>_xlfn.XLOOKUP(crimenes_cordoba_ampliado[[#This Row],[EDAD VICTIMA]],'Rango etareo'!$A$2:$A$25,'Rango etareo'!$B$2:$B$25,,-1)</f>
        <v>&gt;65</v>
      </c>
      <c r="S983" s="3" t="s">
        <v>22</v>
      </c>
      <c r="T983" s="3" t="str">
        <f>IF(crimenes_cordoba_ampliado[[#This Row],[Género Víctima]]="Masculino","🚹","🚺")</f>
        <v>🚹</v>
      </c>
      <c r="U983">
        <v>3</v>
      </c>
      <c r="V983" s="3" t="s">
        <v>23</v>
      </c>
      <c r="W983" s="3" t="s">
        <v>24</v>
      </c>
      <c r="X983" s="3" t="s">
        <v>24</v>
      </c>
      <c r="Y983" s="3" t="s">
        <v>72</v>
      </c>
      <c r="Z983" s="3" t="s">
        <v>25</v>
      </c>
      <c r="AA983" s="3" t="s">
        <v>25</v>
      </c>
      <c r="AB983" s="3" t="str">
        <f>IF(crimenes_cordoba_ampliado[[#This Row],[Hubo Arresto]]="Sí", "Resuelto", "Pendiente")</f>
        <v>Resuelto</v>
      </c>
      <c r="AC983" s="3" t="s">
        <v>206</v>
      </c>
      <c r="AD983" s="3"/>
    </row>
    <row r="984" spans="1:30" x14ac:dyDescent="0.25">
      <c r="A984">
        <v>108</v>
      </c>
      <c r="B984" s="1">
        <v>45613</v>
      </c>
      <c r="C984" s="33">
        <f t="shared" si="30"/>
        <v>45613</v>
      </c>
      <c r="D984" s="34">
        <f t="shared" si="31"/>
        <v>45613</v>
      </c>
      <c r="E984" s="35" t="s">
        <v>1449</v>
      </c>
      <c r="F984" s="2">
        <v>0.85416666666666663</v>
      </c>
      <c r="G984" s="3" t="s">
        <v>51</v>
      </c>
      <c r="H984" s="3" t="s">
        <v>55</v>
      </c>
      <c r="I984" s="25" t="str">
        <f>VLOOKUP(H984,Tabla5[#All],4,FALSE)</f>
        <v>-31,4015892433235, -64,160442876477</v>
      </c>
      <c r="J984" s="1">
        <v>32922</v>
      </c>
      <c r="K984" s="7">
        <f>INT((crimenes_cordoba_ampliado[[#This Row],[Fecha]]-crimenes_cordoba_ampliado[[#This Row],[Fecha Nac. Delincuente]])/365)</f>
        <v>34</v>
      </c>
      <c r="L984" s="7" t="str">
        <f>_xlfn.XLOOKUP(crimenes_cordoba_ampliado[[#This Row],[EDAD DELINCUENTE]],'Rango etareo'!$A$10:$A$25,'Rango etareo'!$B$10:$B$25,,-1)</f>
        <v>26 - 35</v>
      </c>
      <c r="M984" s="3" t="s">
        <v>22</v>
      </c>
      <c r="N984" s="3" t="str">
        <f>IF(crimenes_cordoba_ampliado[[#This Row],[Género Delincuente]]="Femenino","🚺","🚹")</f>
        <v>🚹</v>
      </c>
      <c r="O984">
        <v>2</v>
      </c>
      <c r="P984" s="1">
        <v>16383</v>
      </c>
      <c r="Q984" s="7">
        <f>INT((crimenes_cordoba_ampliado[[#This Row],[Fecha]]-crimenes_cordoba_ampliado[[#This Row],[Fecha Nac. Víctima]])/365)</f>
        <v>80</v>
      </c>
      <c r="R984" s="7" t="str">
        <f>_xlfn.XLOOKUP(crimenes_cordoba_ampliado[[#This Row],[EDAD VICTIMA]],'Rango etareo'!$A$2:$A$25,'Rango etareo'!$B$2:$B$25,,-1)</f>
        <v>&gt;65</v>
      </c>
      <c r="S984" s="3" t="s">
        <v>22</v>
      </c>
      <c r="T984" s="3" t="str">
        <f>IF(crimenes_cordoba_ampliado[[#This Row],[Género Víctima]]="Masculino","🚹","🚺")</f>
        <v>🚹</v>
      </c>
      <c r="U984">
        <v>1</v>
      </c>
      <c r="V984" s="3" t="s">
        <v>25</v>
      </c>
      <c r="W984" s="3" t="s">
        <v>24</v>
      </c>
      <c r="X984" s="3" t="s">
        <v>24</v>
      </c>
      <c r="Y984" s="3" t="s">
        <v>80</v>
      </c>
      <c r="Z984" s="3" t="s">
        <v>23</v>
      </c>
      <c r="AA984" s="3" t="s">
        <v>25</v>
      </c>
      <c r="AB984" s="3" t="str">
        <f>IF(crimenes_cordoba_ampliado[[#This Row],[Hubo Arresto]]="Sí", "Resuelto", "Pendiente")</f>
        <v>Pendiente</v>
      </c>
      <c r="AC984" s="3" t="s">
        <v>24</v>
      </c>
      <c r="AD984" s="3"/>
    </row>
    <row r="985" spans="1:30" x14ac:dyDescent="0.25">
      <c r="A985">
        <v>977</v>
      </c>
      <c r="B985" s="1">
        <v>44628</v>
      </c>
      <c r="C985" s="33">
        <f t="shared" si="30"/>
        <v>44628</v>
      </c>
      <c r="D985" s="34">
        <f t="shared" si="31"/>
        <v>44628</v>
      </c>
      <c r="E985" s="35" t="s">
        <v>1453</v>
      </c>
      <c r="F985" s="2">
        <v>0.68472222222222223</v>
      </c>
      <c r="G985" s="3" t="s">
        <v>35</v>
      </c>
      <c r="H985" s="3" t="s">
        <v>40</v>
      </c>
      <c r="I985" s="25" t="str">
        <f>VLOOKUP(H985,Tabla5[#All],4,FALSE)</f>
        <v>-31,334500143441, -64,2460773260564</v>
      </c>
      <c r="J985" s="1">
        <v>21161</v>
      </c>
      <c r="K985" s="7">
        <f>INT((crimenes_cordoba_ampliado[[#This Row],[Fecha]]-crimenes_cordoba_ampliado[[#This Row],[Fecha Nac. Delincuente]])/365)</f>
        <v>64</v>
      </c>
      <c r="L985" s="7" t="str">
        <f>_xlfn.XLOOKUP(crimenes_cordoba_ampliado[[#This Row],[EDAD DELINCUENTE]],'Rango etareo'!$A$10:$A$25,'Rango etareo'!$B$10:$B$25,,-1)</f>
        <v>56 - 65</v>
      </c>
      <c r="M985" s="3" t="s">
        <v>21</v>
      </c>
      <c r="N985" s="3" t="str">
        <f>IF(crimenes_cordoba_ampliado[[#This Row],[Género Delincuente]]="Femenino","🚺","🚹")</f>
        <v>🚺</v>
      </c>
      <c r="O985">
        <v>3</v>
      </c>
      <c r="P985" s="1">
        <v>31824</v>
      </c>
      <c r="Q985" s="7">
        <f>INT((crimenes_cordoba_ampliado[[#This Row],[Fecha]]-crimenes_cordoba_ampliado[[#This Row],[Fecha Nac. Víctima]])/365)</f>
        <v>35</v>
      </c>
      <c r="R985" s="7" t="str">
        <f>_xlfn.XLOOKUP(crimenes_cordoba_ampliado[[#This Row],[EDAD VICTIMA]],'Rango etareo'!$A$2:$A$25,'Rango etareo'!$B$2:$B$25,,-1)</f>
        <v>26 - 35</v>
      </c>
      <c r="S985" s="3" t="s">
        <v>21</v>
      </c>
      <c r="T985" s="3" t="str">
        <f>IF(crimenes_cordoba_ampliado[[#This Row],[Género Víctima]]="Masculino","🚹","🚺")</f>
        <v>🚺</v>
      </c>
      <c r="U985">
        <v>2</v>
      </c>
      <c r="V985" s="3" t="s">
        <v>23</v>
      </c>
      <c r="W985" s="3" t="s">
        <v>24</v>
      </c>
      <c r="X985" s="3" t="s">
        <v>24</v>
      </c>
      <c r="Y985" s="3" t="s">
        <v>39</v>
      </c>
      <c r="Z985" s="3" t="s">
        <v>23</v>
      </c>
      <c r="AA985" s="3" t="s">
        <v>25</v>
      </c>
      <c r="AB985" s="3" t="str">
        <f>IF(crimenes_cordoba_ampliado[[#This Row],[Hubo Arresto]]="Sí", "Resuelto", "Pendiente")</f>
        <v>Resuelto</v>
      </c>
      <c r="AC985" s="3" t="s">
        <v>155</v>
      </c>
      <c r="AD985" s="3"/>
    </row>
    <row r="986" spans="1:30" x14ac:dyDescent="0.25">
      <c r="A986">
        <v>978</v>
      </c>
      <c r="B986" s="1">
        <v>44504</v>
      </c>
      <c r="C986" s="33">
        <f t="shared" si="30"/>
        <v>44504</v>
      </c>
      <c r="D986" s="34">
        <f t="shared" si="31"/>
        <v>44504</v>
      </c>
      <c r="E986" s="35" t="s">
        <v>1454</v>
      </c>
      <c r="F986" s="2">
        <v>0.90694444444444444</v>
      </c>
      <c r="G986" s="3" t="s">
        <v>35</v>
      </c>
      <c r="H986" s="3" t="s">
        <v>62</v>
      </c>
      <c r="I986" s="25" t="str">
        <f>VLOOKUP(H986,Tabla5[#All],4,FALSE)</f>
        <v>-31,3909520937826, -64,1836424491715</v>
      </c>
      <c r="J986" s="1">
        <v>32644</v>
      </c>
      <c r="K986" s="7">
        <f>INT((crimenes_cordoba_ampliado[[#This Row],[Fecha]]-crimenes_cordoba_ampliado[[#This Row],[Fecha Nac. Delincuente]])/365)</f>
        <v>32</v>
      </c>
      <c r="L986" s="7" t="str">
        <f>_xlfn.XLOOKUP(crimenes_cordoba_ampliado[[#This Row],[EDAD DELINCUENTE]],'Rango etareo'!$A$10:$A$25,'Rango etareo'!$B$10:$B$25,,-1)</f>
        <v>26 - 35</v>
      </c>
      <c r="M986" s="3" t="s">
        <v>22</v>
      </c>
      <c r="N986" s="3" t="str">
        <f>IF(crimenes_cordoba_ampliado[[#This Row],[Género Delincuente]]="Femenino","🚺","🚹")</f>
        <v>🚹</v>
      </c>
      <c r="O986">
        <v>2</v>
      </c>
      <c r="P986" s="1">
        <v>27230</v>
      </c>
      <c r="Q986" s="7">
        <f>INT((crimenes_cordoba_ampliado[[#This Row],[Fecha]]-crimenes_cordoba_ampliado[[#This Row],[Fecha Nac. Víctima]])/365)</f>
        <v>47</v>
      </c>
      <c r="R986" s="7" t="str">
        <f>_xlfn.XLOOKUP(crimenes_cordoba_ampliado[[#This Row],[EDAD VICTIMA]],'Rango etareo'!$A$2:$A$25,'Rango etareo'!$B$2:$B$25,,-1)</f>
        <v>46 - 55</v>
      </c>
      <c r="S986" s="3" t="s">
        <v>21</v>
      </c>
      <c r="T986" s="3" t="str">
        <f>IF(crimenes_cordoba_ampliado[[#This Row],[Género Víctima]]="Masculino","🚹","🚺")</f>
        <v>🚺</v>
      </c>
      <c r="U986">
        <v>3</v>
      </c>
      <c r="V986" s="3" t="s">
        <v>23</v>
      </c>
      <c r="W986" s="3" t="s">
        <v>71</v>
      </c>
      <c r="X986" s="3" t="s">
        <v>24</v>
      </c>
      <c r="Y986" s="3" t="s">
        <v>101</v>
      </c>
      <c r="Z986" s="3" t="s">
        <v>25</v>
      </c>
      <c r="AA986" s="3" t="s">
        <v>25</v>
      </c>
      <c r="AB986" s="3" t="str">
        <f>IF(crimenes_cordoba_ampliado[[#This Row],[Hubo Arresto]]="Sí", "Resuelto", "Pendiente")</f>
        <v>Resuelto</v>
      </c>
      <c r="AC986" s="3" t="s">
        <v>176</v>
      </c>
      <c r="AD986" s="3"/>
    </row>
    <row r="987" spans="1:30" x14ac:dyDescent="0.25">
      <c r="A987">
        <v>980</v>
      </c>
      <c r="B987" s="1">
        <v>42462</v>
      </c>
      <c r="C987" s="33">
        <f t="shared" si="30"/>
        <v>42462</v>
      </c>
      <c r="D987" s="34">
        <f t="shared" si="31"/>
        <v>42462</v>
      </c>
      <c r="E987" s="35" t="s">
        <v>1451</v>
      </c>
      <c r="F987" s="2">
        <v>0.9555555555555556</v>
      </c>
      <c r="G987" s="3" t="s">
        <v>45</v>
      </c>
      <c r="H987" s="3" t="s">
        <v>55</v>
      </c>
      <c r="I987" s="25" t="str">
        <f>VLOOKUP(H987,Tabla5[#All],4,FALSE)</f>
        <v>-31,4015892433235, -64,160442876477</v>
      </c>
      <c r="J987" s="1">
        <v>35207</v>
      </c>
      <c r="K987" s="7">
        <f>INT((crimenes_cordoba_ampliado[[#This Row],[Fecha]]-crimenes_cordoba_ampliado[[#This Row],[Fecha Nac. Delincuente]])/365)</f>
        <v>19</v>
      </c>
      <c r="L987" s="7" t="str">
        <f>_xlfn.XLOOKUP(crimenes_cordoba_ampliado[[#This Row],[EDAD DELINCUENTE]],'Rango etareo'!$A$10:$A$25,'Rango etareo'!$B$10:$B$25,,-1)</f>
        <v>18 - 25</v>
      </c>
      <c r="M987" s="3" t="s">
        <v>21</v>
      </c>
      <c r="N987" s="3" t="str">
        <f>IF(crimenes_cordoba_ampliado[[#This Row],[Género Delincuente]]="Femenino","🚺","🚹")</f>
        <v>🚺</v>
      </c>
      <c r="O987">
        <v>4</v>
      </c>
      <c r="P987" s="1">
        <v>40528</v>
      </c>
      <c r="Q987" s="7">
        <f>INT((crimenes_cordoba_ampliado[[#This Row],[Fecha]]-crimenes_cordoba_ampliado[[#This Row],[Fecha Nac. Víctima]])/365)</f>
        <v>5</v>
      </c>
      <c r="R987" s="7" t="str">
        <f>_xlfn.XLOOKUP(crimenes_cordoba_ampliado[[#This Row],[EDAD VICTIMA]],'Rango etareo'!$A$2:$A$25,'Rango etareo'!$B$2:$B$25,,-1)</f>
        <v>&lt;=17</v>
      </c>
      <c r="S987" s="3" t="s">
        <v>21</v>
      </c>
      <c r="T987" s="3" t="str">
        <f>IF(crimenes_cordoba_ampliado[[#This Row],[Género Víctima]]="Masculino","🚹","🚺")</f>
        <v>🚺</v>
      </c>
      <c r="U987">
        <v>3</v>
      </c>
      <c r="V987" s="3" t="s">
        <v>23</v>
      </c>
      <c r="W987" s="3" t="s">
        <v>24</v>
      </c>
      <c r="X987" s="3" t="s">
        <v>24</v>
      </c>
      <c r="Y987" s="3" t="s">
        <v>98</v>
      </c>
      <c r="Z987" s="3" t="s">
        <v>25</v>
      </c>
      <c r="AA987" s="3" t="s">
        <v>23</v>
      </c>
      <c r="AB987" s="3" t="str">
        <f>IF(crimenes_cordoba_ampliado[[#This Row],[Hubo Arresto]]="Sí", "Resuelto", "Pendiente")</f>
        <v>Resuelto</v>
      </c>
      <c r="AC987" s="3" t="s">
        <v>305</v>
      </c>
      <c r="AD987" s="3"/>
    </row>
    <row r="988" spans="1:30" x14ac:dyDescent="0.25">
      <c r="A988">
        <v>668</v>
      </c>
      <c r="B988" s="1">
        <v>45622</v>
      </c>
      <c r="C988" s="33">
        <f t="shared" si="30"/>
        <v>45622</v>
      </c>
      <c r="D988" s="34">
        <f t="shared" si="31"/>
        <v>45622</v>
      </c>
      <c r="E988" s="35" t="s">
        <v>1453</v>
      </c>
      <c r="F988" s="2">
        <v>0.84791666666666665</v>
      </c>
      <c r="G988" s="3" t="s">
        <v>54</v>
      </c>
      <c r="H988" s="3" t="s">
        <v>55</v>
      </c>
      <c r="I988" s="25" t="str">
        <f>VLOOKUP(H988,Tabla5[#All],4,FALSE)</f>
        <v>-31,4015892433235, -64,160442876477</v>
      </c>
      <c r="J988" s="1">
        <v>33037</v>
      </c>
      <c r="K988" s="7">
        <f>INT((crimenes_cordoba_ampliado[[#This Row],[Fecha]]-crimenes_cordoba_ampliado[[#This Row],[Fecha Nac. Delincuente]])/365)</f>
        <v>34</v>
      </c>
      <c r="L988" s="7" t="str">
        <f>_xlfn.XLOOKUP(crimenes_cordoba_ampliado[[#This Row],[EDAD DELINCUENTE]],'Rango etareo'!$A$10:$A$25,'Rango etareo'!$B$10:$B$25,,-1)</f>
        <v>26 - 35</v>
      </c>
      <c r="M988" s="3" t="s">
        <v>21</v>
      </c>
      <c r="N988" s="3" t="str">
        <f>IF(crimenes_cordoba_ampliado[[#This Row],[Género Delincuente]]="Femenino","🚺","🚹")</f>
        <v>🚺</v>
      </c>
      <c r="O988">
        <v>5</v>
      </c>
      <c r="P988" s="1">
        <v>25889</v>
      </c>
      <c r="Q988" s="7">
        <f>INT((crimenes_cordoba_ampliado[[#This Row],[Fecha]]-crimenes_cordoba_ampliado[[#This Row],[Fecha Nac. Víctima]])/365)</f>
        <v>54</v>
      </c>
      <c r="R988" s="7" t="str">
        <f>_xlfn.XLOOKUP(crimenes_cordoba_ampliado[[#This Row],[EDAD VICTIMA]],'Rango etareo'!$A$2:$A$25,'Rango etareo'!$B$2:$B$25,,-1)</f>
        <v>46 - 55</v>
      </c>
      <c r="S988" s="3" t="s">
        <v>21</v>
      </c>
      <c r="T988" s="3" t="str">
        <f>IF(crimenes_cordoba_ampliado[[#This Row],[Género Víctima]]="Masculino","🚹","🚺")</f>
        <v>🚺</v>
      </c>
      <c r="U988">
        <v>3</v>
      </c>
      <c r="V988" s="3" t="s">
        <v>25</v>
      </c>
      <c r="W988" s="3" t="s">
        <v>83</v>
      </c>
      <c r="X988" s="3" t="s">
        <v>41</v>
      </c>
      <c r="Y988" s="3" t="s">
        <v>24</v>
      </c>
      <c r="Z988" s="3" t="s">
        <v>25</v>
      </c>
      <c r="AA988" s="3" t="s">
        <v>23</v>
      </c>
      <c r="AB988" s="3" t="str">
        <f>IF(crimenes_cordoba_ampliado[[#This Row],[Hubo Arresto]]="Sí", "Resuelto", "Pendiente")</f>
        <v>Pendiente</v>
      </c>
      <c r="AC988" s="3" t="s">
        <v>24</v>
      </c>
      <c r="AD988" s="3"/>
    </row>
    <row r="989" spans="1:30" x14ac:dyDescent="0.25">
      <c r="A989">
        <v>357</v>
      </c>
      <c r="B989" s="1">
        <v>45626</v>
      </c>
      <c r="C989" s="33">
        <f t="shared" si="30"/>
        <v>45626</v>
      </c>
      <c r="D989" s="34">
        <f t="shared" si="31"/>
        <v>45626</v>
      </c>
      <c r="E989" s="35" t="s">
        <v>1451</v>
      </c>
      <c r="F989" s="2">
        <v>0.55277777777777781</v>
      </c>
      <c r="G989" s="3" t="s">
        <v>48</v>
      </c>
      <c r="H989" s="3" t="s">
        <v>58</v>
      </c>
      <c r="I989" s="25" t="str">
        <f>VLOOKUP(H989,Tabla5[#All],4,FALSE)</f>
        <v>-31,423018915313, -64,1493562190664</v>
      </c>
      <c r="J989" s="1">
        <v>18787</v>
      </c>
      <c r="K989" s="7">
        <f>INT((crimenes_cordoba_ampliado[[#This Row],[Fecha]]-crimenes_cordoba_ampliado[[#This Row],[Fecha Nac. Delincuente]])/365)</f>
        <v>73</v>
      </c>
      <c r="L989" s="7" t="str">
        <f>_xlfn.XLOOKUP(crimenes_cordoba_ampliado[[#This Row],[EDAD DELINCUENTE]],'Rango etareo'!$A$10:$A$25,'Rango etareo'!$B$10:$B$25,,-1)</f>
        <v>&gt;65</v>
      </c>
      <c r="M989" s="3" t="s">
        <v>21</v>
      </c>
      <c r="N989" s="3" t="str">
        <f>IF(crimenes_cordoba_ampliado[[#This Row],[Género Delincuente]]="Femenino","🚺","🚹")</f>
        <v>🚺</v>
      </c>
      <c r="O989">
        <v>4</v>
      </c>
      <c r="P989" s="1">
        <v>16879</v>
      </c>
      <c r="Q989" s="7">
        <f>INT((crimenes_cordoba_ampliado[[#This Row],[Fecha]]-crimenes_cordoba_ampliado[[#This Row],[Fecha Nac. Víctima]])/365)</f>
        <v>78</v>
      </c>
      <c r="R989" s="7" t="str">
        <f>_xlfn.XLOOKUP(crimenes_cordoba_ampliado[[#This Row],[EDAD VICTIMA]],'Rango etareo'!$A$2:$A$25,'Rango etareo'!$B$2:$B$25,,-1)</f>
        <v>&gt;65</v>
      </c>
      <c r="S989" s="3" t="s">
        <v>22</v>
      </c>
      <c r="T989" s="3" t="str">
        <f>IF(crimenes_cordoba_ampliado[[#This Row],[Género Víctima]]="Masculino","🚹","🚺")</f>
        <v>🚹</v>
      </c>
      <c r="U989">
        <v>3</v>
      </c>
      <c r="V989" s="3" t="s">
        <v>25</v>
      </c>
      <c r="W989" s="3" t="s">
        <v>24</v>
      </c>
      <c r="X989" s="3" t="s">
        <v>24</v>
      </c>
      <c r="Y989" s="3" t="s">
        <v>56</v>
      </c>
      <c r="Z989" s="3" t="s">
        <v>25</v>
      </c>
      <c r="AA989" s="3" t="s">
        <v>23</v>
      </c>
      <c r="AB989" s="3" t="str">
        <f>IF(crimenes_cordoba_ampliado[[#This Row],[Hubo Arresto]]="Sí", "Resuelto", "Pendiente")</f>
        <v>Pendiente</v>
      </c>
      <c r="AC989" s="3" t="s">
        <v>24</v>
      </c>
      <c r="AD989" s="3"/>
    </row>
    <row r="990" spans="1:30" x14ac:dyDescent="0.25">
      <c r="A990">
        <v>982</v>
      </c>
      <c r="B990" s="1">
        <v>42936</v>
      </c>
      <c r="C990" s="33">
        <f t="shared" si="30"/>
        <v>42936</v>
      </c>
      <c r="D990" s="34">
        <f t="shared" si="31"/>
        <v>42936</v>
      </c>
      <c r="E990" s="35" t="s">
        <v>1454</v>
      </c>
      <c r="F990" s="2">
        <v>0.50555555555555554</v>
      </c>
      <c r="G990" s="3" t="s">
        <v>27</v>
      </c>
      <c r="H990" s="3" t="s">
        <v>65</v>
      </c>
      <c r="I990" s="25" t="str">
        <f>VLOOKUP(H990,Tabla5[#All],4,FALSE)</f>
        <v>-31,4285567311661, -64,1853198281007</v>
      </c>
      <c r="J990" s="1">
        <v>38953</v>
      </c>
      <c r="K990" s="7">
        <f>INT((crimenes_cordoba_ampliado[[#This Row],[Fecha]]-crimenes_cordoba_ampliado[[#This Row],[Fecha Nac. Delincuente]])/365)</f>
        <v>10</v>
      </c>
      <c r="L990" s="7" t="str">
        <f>_xlfn.XLOOKUP(crimenes_cordoba_ampliado[[#This Row],[EDAD DELINCUENTE]],'Rango etareo'!$A$10:$A$25,'Rango etareo'!$B$10:$B$25,,-1)</f>
        <v>&lt;=17</v>
      </c>
      <c r="M990" s="3" t="s">
        <v>21</v>
      </c>
      <c r="N990" s="3" t="str">
        <f>IF(crimenes_cordoba_ampliado[[#This Row],[Género Delincuente]]="Femenino","🚺","🚹")</f>
        <v>🚺</v>
      </c>
      <c r="O990">
        <v>2</v>
      </c>
      <c r="P990" s="1">
        <v>25106</v>
      </c>
      <c r="Q990" s="7">
        <f>INT((crimenes_cordoba_ampliado[[#This Row],[Fecha]]-crimenes_cordoba_ampliado[[#This Row],[Fecha Nac. Víctima]])/365)</f>
        <v>48</v>
      </c>
      <c r="R990" s="7" t="str">
        <f>_xlfn.XLOOKUP(crimenes_cordoba_ampliado[[#This Row],[EDAD VICTIMA]],'Rango etareo'!$A$2:$A$25,'Rango etareo'!$B$2:$B$25,,-1)</f>
        <v>46 - 55</v>
      </c>
      <c r="S990" s="3" t="s">
        <v>22</v>
      </c>
      <c r="T990" s="3" t="str">
        <f>IF(crimenes_cordoba_ampliado[[#This Row],[Género Víctima]]="Masculino","🚹","🚺")</f>
        <v>🚹</v>
      </c>
      <c r="U990">
        <v>1</v>
      </c>
      <c r="V990" s="3" t="s">
        <v>23</v>
      </c>
      <c r="W990" s="3" t="s">
        <v>24</v>
      </c>
      <c r="X990" s="3" t="s">
        <v>24</v>
      </c>
      <c r="Y990" s="3" t="s">
        <v>89</v>
      </c>
      <c r="Z990" s="3" t="s">
        <v>25</v>
      </c>
      <c r="AA990" s="3" t="s">
        <v>25</v>
      </c>
      <c r="AB990" s="3" t="str">
        <f>IF(crimenes_cordoba_ampliado[[#This Row],[Hubo Arresto]]="Sí", "Resuelto", "Pendiente")</f>
        <v>Resuelto</v>
      </c>
      <c r="AC990" s="3" t="s">
        <v>292</v>
      </c>
      <c r="AD990" s="3"/>
    </row>
    <row r="991" spans="1:30" x14ac:dyDescent="0.25">
      <c r="A991">
        <v>632</v>
      </c>
      <c r="B991" s="1">
        <v>45629</v>
      </c>
      <c r="C991" s="33">
        <f t="shared" si="30"/>
        <v>45629</v>
      </c>
      <c r="D991" s="34">
        <f t="shared" si="31"/>
        <v>45629</v>
      </c>
      <c r="E991" s="35" t="s">
        <v>1453</v>
      </c>
      <c r="F991" s="2">
        <v>0.44722222222222224</v>
      </c>
      <c r="G991" s="3" t="s">
        <v>45</v>
      </c>
      <c r="H991" s="3" t="s">
        <v>58</v>
      </c>
      <c r="I991" s="25" t="str">
        <f>VLOOKUP(H991,Tabla5[#All],4,FALSE)</f>
        <v>-31,423018915313, -64,1493562190664</v>
      </c>
      <c r="J991" s="1">
        <v>36827</v>
      </c>
      <c r="K991" s="7">
        <f>INT((crimenes_cordoba_ampliado[[#This Row],[Fecha]]-crimenes_cordoba_ampliado[[#This Row],[Fecha Nac. Delincuente]])/365)</f>
        <v>24</v>
      </c>
      <c r="L991" s="7" t="str">
        <f>_xlfn.XLOOKUP(crimenes_cordoba_ampliado[[#This Row],[EDAD DELINCUENTE]],'Rango etareo'!$A$10:$A$25,'Rango etareo'!$B$10:$B$25,,-1)</f>
        <v>18 - 25</v>
      </c>
      <c r="M991" s="3" t="s">
        <v>22</v>
      </c>
      <c r="N991" s="3" t="str">
        <f>IF(crimenes_cordoba_ampliado[[#This Row],[Género Delincuente]]="Femenino","🚺","🚹")</f>
        <v>🚹</v>
      </c>
      <c r="O991">
        <v>1</v>
      </c>
      <c r="P991" s="1">
        <v>24067</v>
      </c>
      <c r="Q991" s="7">
        <f>INT((crimenes_cordoba_ampliado[[#This Row],[Fecha]]-crimenes_cordoba_ampliado[[#This Row],[Fecha Nac. Víctima]])/365)</f>
        <v>59</v>
      </c>
      <c r="R991" s="7" t="str">
        <f>_xlfn.XLOOKUP(crimenes_cordoba_ampliado[[#This Row],[EDAD VICTIMA]],'Rango etareo'!$A$2:$A$25,'Rango etareo'!$B$2:$B$25,,-1)</f>
        <v>56 - 65</v>
      </c>
      <c r="S991" s="3" t="s">
        <v>22</v>
      </c>
      <c r="T991" s="3" t="str">
        <f>IF(crimenes_cordoba_ampliado[[#This Row],[Género Víctima]]="Masculino","🚹","🚺")</f>
        <v>🚹</v>
      </c>
      <c r="U991">
        <v>2</v>
      </c>
      <c r="V991" s="3" t="s">
        <v>25</v>
      </c>
      <c r="W991" s="3" t="s">
        <v>24</v>
      </c>
      <c r="X991" s="3" t="s">
        <v>24</v>
      </c>
      <c r="Y991" s="3" t="s">
        <v>72</v>
      </c>
      <c r="Z991" s="3" t="s">
        <v>25</v>
      </c>
      <c r="AA991" s="3" t="s">
        <v>25</v>
      </c>
      <c r="AB991" s="3" t="str">
        <f>IF(crimenes_cordoba_ampliado[[#This Row],[Hubo Arresto]]="Sí", "Resuelto", "Pendiente")</f>
        <v>Pendiente</v>
      </c>
      <c r="AC991" s="3" t="s">
        <v>24</v>
      </c>
      <c r="AD991" s="3"/>
    </row>
    <row r="992" spans="1:30" x14ac:dyDescent="0.25">
      <c r="A992">
        <v>877</v>
      </c>
      <c r="B992" s="1">
        <v>45630</v>
      </c>
      <c r="C992" s="33">
        <f t="shared" si="30"/>
        <v>45630</v>
      </c>
      <c r="D992" s="34">
        <f t="shared" si="31"/>
        <v>45630</v>
      </c>
      <c r="E992" s="35" t="s">
        <v>1450</v>
      </c>
      <c r="F992" s="2">
        <v>0.14027777777777778</v>
      </c>
      <c r="G992" s="3" t="s">
        <v>51</v>
      </c>
      <c r="H992" s="3" t="s">
        <v>49</v>
      </c>
      <c r="I992" s="25" t="str">
        <f>VLOOKUP(H992,Tabla5[#All],4,FALSE)</f>
        <v>-31,4506257494184, -64,1733054344705</v>
      </c>
      <c r="J992" s="1">
        <v>38156</v>
      </c>
      <c r="K992" s="7">
        <f>INT((crimenes_cordoba_ampliado[[#This Row],[Fecha]]-crimenes_cordoba_ampliado[[#This Row],[Fecha Nac. Delincuente]])/365)</f>
        <v>20</v>
      </c>
      <c r="L992" s="7" t="str">
        <f>_xlfn.XLOOKUP(crimenes_cordoba_ampliado[[#This Row],[EDAD DELINCUENTE]],'Rango etareo'!$A$10:$A$25,'Rango etareo'!$B$10:$B$25,,-1)</f>
        <v>18 - 25</v>
      </c>
      <c r="M992" s="3" t="s">
        <v>21</v>
      </c>
      <c r="N992" s="3" t="str">
        <f>IF(crimenes_cordoba_ampliado[[#This Row],[Género Delincuente]]="Femenino","🚺","🚹")</f>
        <v>🚺</v>
      </c>
      <c r="O992">
        <v>2</v>
      </c>
      <c r="P992" s="1">
        <v>35363</v>
      </c>
      <c r="Q992" s="7">
        <f>INT((crimenes_cordoba_ampliado[[#This Row],[Fecha]]-crimenes_cordoba_ampliado[[#This Row],[Fecha Nac. Víctima]])/365)</f>
        <v>28</v>
      </c>
      <c r="R992" s="7" t="str">
        <f>_xlfn.XLOOKUP(crimenes_cordoba_ampliado[[#This Row],[EDAD VICTIMA]],'Rango etareo'!$A$2:$A$25,'Rango etareo'!$B$2:$B$25,,-1)</f>
        <v>26 - 35</v>
      </c>
      <c r="S992" s="3" t="s">
        <v>21</v>
      </c>
      <c r="T992" s="3" t="str">
        <f>IF(crimenes_cordoba_ampliado[[#This Row],[Género Víctima]]="Masculino","🚹","🚺")</f>
        <v>🚺</v>
      </c>
      <c r="U992">
        <v>3</v>
      </c>
      <c r="V992" s="3" t="s">
        <v>25</v>
      </c>
      <c r="W992" s="3" t="s">
        <v>24</v>
      </c>
      <c r="X992" s="3" t="s">
        <v>24</v>
      </c>
      <c r="Y992" s="3" t="s">
        <v>24</v>
      </c>
      <c r="Z992" s="3" t="s">
        <v>25</v>
      </c>
      <c r="AA992" s="3" t="s">
        <v>25</v>
      </c>
      <c r="AB992" s="3" t="str">
        <f>IF(crimenes_cordoba_ampliado[[#This Row],[Hubo Arresto]]="Sí", "Resuelto", "Pendiente")</f>
        <v>Pendiente</v>
      </c>
      <c r="AC992" s="3" t="s">
        <v>24</v>
      </c>
      <c r="AD992" s="3"/>
    </row>
    <row r="993" spans="1:30" x14ac:dyDescent="0.25">
      <c r="A993">
        <v>984</v>
      </c>
      <c r="B993" s="1">
        <v>44343</v>
      </c>
      <c r="C993" s="33">
        <f t="shared" si="30"/>
        <v>44343</v>
      </c>
      <c r="D993" s="34">
        <f t="shared" si="31"/>
        <v>44343</v>
      </c>
      <c r="E993" s="35" t="s">
        <v>1454</v>
      </c>
      <c r="F993" s="2">
        <v>0.64513888888888893</v>
      </c>
      <c r="G993" s="3" t="s">
        <v>81</v>
      </c>
      <c r="H993" s="3" t="s">
        <v>32</v>
      </c>
      <c r="I993" s="25" t="str">
        <f>VLOOKUP(H993,Tabla5[#All],4,FALSE)</f>
        <v>-31,4148488101991, -64,1793406489438</v>
      </c>
      <c r="J993" s="1">
        <v>25665</v>
      </c>
      <c r="K993" s="7">
        <f>INT((crimenes_cordoba_ampliado[[#This Row],[Fecha]]-crimenes_cordoba_ampliado[[#This Row],[Fecha Nac. Delincuente]])/365)</f>
        <v>51</v>
      </c>
      <c r="L993" s="7" t="str">
        <f>_xlfn.XLOOKUP(crimenes_cordoba_ampliado[[#This Row],[EDAD DELINCUENTE]],'Rango etareo'!$A$10:$A$25,'Rango etareo'!$B$10:$B$25,,-1)</f>
        <v>46 - 55</v>
      </c>
      <c r="M993" s="3" t="s">
        <v>22</v>
      </c>
      <c r="N993" s="3" t="str">
        <f>IF(crimenes_cordoba_ampliado[[#This Row],[Género Delincuente]]="Femenino","🚺","🚹")</f>
        <v>🚹</v>
      </c>
      <c r="O993">
        <v>4</v>
      </c>
      <c r="P993" s="1">
        <v>15894</v>
      </c>
      <c r="Q993" s="7">
        <f>INT((crimenes_cordoba_ampliado[[#This Row],[Fecha]]-crimenes_cordoba_ampliado[[#This Row],[Fecha Nac. Víctima]])/365)</f>
        <v>77</v>
      </c>
      <c r="R993" s="7" t="str">
        <f>_xlfn.XLOOKUP(crimenes_cordoba_ampliado[[#This Row],[EDAD VICTIMA]],'Rango etareo'!$A$2:$A$25,'Rango etareo'!$B$2:$B$25,,-1)</f>
        <v>&gt;65</v>
      </c>
      <c r="S993" s="3" t="s">
        <v>21</v>
      </c>
      <c r="T993" s="3" t="str">
        <f>IF(crimenes_cordoba_ampliado[[#This Row],[Género Víctima]]="Masculino","🚹","🚺")</f>
        <v>🚺</v>
      </c>
      <c r="U993">
        <v>1</v>
      </c>
      <c r="V993" s="3" t="s">
        <v>23</v>
      </c>
      <c r="W993" s="3" t="s">
        <v>24</v>
      </c>
      <c r="X993" s="3" t="s">
        <v>24</v>
      </c>
      <c r="Y993" s="3" t="s">
        <v>86</v>
      </c>
      <c r="Z993" s="3" t="s">
        <v>25</v>
      </c>
      <c r="AA993" s="3" t="s">
        <v>25</v>
      </c>
      <c r="AB993" s="3" t="str">
        <f>IF(crimenes_cordoba_ampliado[[#This Row],[Hubo Arresto]]="Sí", "Resuelto", "Pendiente")</f>
        <v>Resuelto</v>
      </c>
      <c r="AC993" s="3" t="s">
        <v>246</v>
      </c>
      <c r="AD993" s="3"/>
    </row>
    <row r="994" spans="1:30" x14ac:dyDescent="0.25">
      <c r="A994">
        <v>694</v>
      </c>
      <c r="B994" s="1">
        <v>45640</v>
      </c>
      <c r="C994" s="33">
        <f t="shared" si="30"/>
        <v>45640</v>
      </c>
      <c r="D994" s="34">
        <f t="shared" si="31"/>
        <v>45640</v>
      </c>
      <c r="E994" s="35" t="s">
        <v>1451</v>
      </c>
      <c r="F994" s="2">
        <v>0.43263888888888891</v>
      </c>
      <c r="G994" s="3" t="s">
        <v>45</v>
      </c>
      <c r="H994" s="3" t="s">
        <v>20</v>
      </c>
      <c r="I994" s="25" t="str">
        <f>VLOOKUP(H994,Tabla5[#All],4,FALSE)</f>
        <v>-31,4800162965848, -64,2094200976892</v>
      </c>
      <c r="J994" s="1">
        <v>24353</v>
      </c>
      <c r="K994" s="7">
        <f>INT((crimenes_cordoba_ampliado[[#This Row],[Fecha]]-crimenes_cordoba_ampliado[[#This Row],[Fecha Nac. Delincuente]])/365)</f>
        <v>58</v>
      </c>
      <c r="L994" s="7" t="str">
        <f>_xlfn.XLOOKUP(crimenes_cordoba_ampliado[[#This Row],[EDAD DELINCUENTE]],'Rango etareo'!$A$10:$A$25,'Rango etareo'!$B$10:$B$25,,-1)</f>
        <v>56 - 65</v>
      </c>
      <c r="M994" s="3" t="s">
        <v>22</v>
      </c>
      <c r="N994" s="3" t="str">
        <f>IF(crimenes_cordoba_ampliado[[#This Row],[Género Delincuente]]="Femenino","🚺","🚹")</f>
        <v>🚹</v>
      </c>
      <c r="O994">
        <v>3</v>
      </c>
      <c r="P994" s="1">
        <v>39854</v>
      </c>
      <c r="Q994" s="7">
        <f>INT((crimenes_cordoba_ampliado[[#This Row],[Fecha]]-crimenes_cordoba_ampliado[[#This Row],[Fecha Nac. Víctima]])/365)</f>
        <v>15</v>
      </c>
      <c r="R994" s="7" t="str">
        <f>_xlfn.XLOOKUP(crimenes_cordoba_ampliado[[#This Row],[EDAD VICTIMA]],'Rango etareo'!$A$2:$A$25,'Rango etareo'!$B$2:$B$25,,-1)</f>
        <v>&lt;=17</v>
      </c>
      <c r="S994" s="3" t="s">
        <v>22</v>
      </c>
      <c r="T994" s="3" t="str">
        <f>IF(crimenes_cordoba_ampliado[[#This Row],[Género Víctima]]="Masculino","🚹","🚺")</f>
        <v>🚹</v>
      </c>
      <c r="U994">
        <v>2</v>
      </c>
      <c r="V994" s="3" t="s">
        <v>25</v>
      </c>
      <c r="W994" s="3" t="s">
        <v>24</v>
      </c>
      <c r="X994" s="3" t="s">
        <v>24</v>
      </c>
      <c r="Y994" s="3" t="s">
        <v>72</v>
      </c>
      <c r="Z994" s="3" t="s">
        <v>25</v>
      </c>
      <c r="AA994" s="3" t="s">
        <v>25</v>
      </c>
      <c r="AB994" s="3" t="str">
        <f>IF(crimenes_cordoba_ampliado[[#This Row],[Hubo Arresto]]="Sí", "Resuelto", "Pendiente")</f>
        <v>Pendiente</v>
      </c>
      <c r="AC994" s="3" t="s">
        <v>24</v>
      </c>
      <c r="AD994" s="3"/>
    </row>
    <row r="995" spans="1:30" x14ac:dyDescent="0.25">
      <c r="A995">
        <v>170</v>
      </c>
      <c r="B995" s="1">
        <v>45641</v>
      </c>
      <c r="C995" s="33">
        <f t="shared" si="30"/>
        <v>45641</v>
      </c>
      <c r="D995" s="34">
        <f t="shared" si="31"/>
        <v>45641</v>
      </c>
      <c r="E995" s="35" t="s">
        <v>1449</v>
      </c>
      <c r="F995" s="2">
        <v>0.68888888888888888</v>
      </c>
      <c r="G995" s="3" t="s">
        <v>51</v>
      </c>
      <c r="H995" s="3" t="s">
        <v>28</v>
      </c>
      <c r="I995" s="25" t="str">
        <f>VLOOKUP(H995,Tabla5[#All],4,FALSE)</f>
        <v>-31,4129883640337, -64,1681120522587</v>
      </c>
      <c r="J995" s="1">
        <v>31404</v>
      </c>
      <c r="K995" s="7">
        <f>INT((crimenes_cordoba_ampliado[[#This Row],[Fecha]]-crimenes_cordoba_ampliado[[#This Row],[Fecha Nac. Delincuente]])/365)</f>
        <v>39</v>
      </c>
      <c r="L995" s="7" t="str">
        <f>_xlfn.XLOOKUP(crimenes_cordoba_ampliado[[#This Row],[EDAD DELINCUENTE]],'Rango etareo'!$A$10:$A$25,'Rango etareo'!$B$10:$B$25,,-1)</f>
        <v>36 - 45</v>
      </c>
      <c r="M995" s="3" t="s">
        <v>21</v>
      </c>
      <c r="N995" s="3" t="str">
        <f>IF(crimenes_cordoba_ampliado[[#This Row],[Género Delincuente]]="Femenino","🚺","🚹")</f>
        <v>🚺</v>
      </c>
      <c r="O995">
        <v>5</v>
      </c>
      <c r="P995" s="1">
        <v>18887</v>
      </c>
      <c r="Q995" s="7">
        <f>INT((crimenes_cordoba_ampliado[[#This Row],[Fecha]]-crimenes_cordoba_ampliado[[#This Row],[Fecha Nac. Víctima]])/365)</f>
        <v>73</v>
      </c>
      <c r="R995" s="7" t="str">
        <f>_xlfn.XLOOKUP(crimenes_cordoba_ampliado[[#This Row],[EDAD VICTIMA]],'Rango etareo'!$A$2:$A$25,'Rango etareo'!$B$2:$B$25,,-1)</f>
        <v>&gt;65</v>
      </c>
      <c r="S995" s="3" t="s">
        <v>21</v>
      </c>
      <c r="T995" s="3" t="str">
        <f>IF(crimenes_cordoba_ampliado[[#This Row],[Género Víctima]]="Masculino","🚹","🚺")</f>
        <v>🚺</v>
      </c>
      <c r="U995">
        <v>2</v>
      </c>
      <c r="V995" s="3" t="s">
        <v>25</v>
      </c>
      <c r="W995" s="3" t="s">
        <v>24</v>
      </c>
      <c r="X995" s="3" t="s">
        <v>24</v>
      </c>
      <c r="Y995" s="3" t="s">
        <v>89</v>
      </c>
      <c r="Z995" s="3" t="s">
        <v>23</v>
      </c>
      <c r="AA995" s="3" t="s">
        <v>23</v>
      </c>
      <c r="AB995" s="3" t="str">
        <f>IF(crimenes_cordoba_ampliado[[#This Row],[Hubo Arresto]]="Sí", "Resuelto", "Pendiente")</f>
        <v>Pendiente</v>
      </c>
      <c r="AC995" s="3" t="s">
        <v>24</v>
      </c>
      <c r="AD995" s="3"/>
    </row>
    <row r="996" spans="1:30" x14ac:dyDescent="0.25">
      <c r="A996">
        <v>648</v>
      </c>
      <c r="B996" s="1">
        <v>45643</v>
      </c>
      <c r="C996" s="33">
        <f t="shared" si="30"/>
        <v>45643</v>
      </c>
      <c r="D996" s="34">
        <f t="shared" si="31"/>
        <v>45643</v>
      </c>
      <c r="E996" s="35" t="s">
        <v>1453</v>
      </c>
      <c r="F996" s="2">
        <v>0.67986111111111114</v>
      </c>
      <c r="G996" s="3" t="s">
        <v>42</v>
      </c>
      <c r="H996" s="3" t="s">
        <v>52</v>
      </c>
      <c r="I996" s="25" t="str">
        <f>VLOOKUP(H996,Tabla5[#All],4,FALSE)</f>
        <v>-31,3477902896523, -64,2644406169297</v>
      </c>
      <c r="J996" s="1">
        <v>32907</v>
      </c>
      <c r="K996" s="7">
        <f>INT((crimenes_cordoba_ampliado[[#This Row],[Fecha]]-crimenes_cordoba_ampliado[[#This Row],[Fecha Nac. Delincuente]])/365)</f>
        <v>34</v>
      </c>
      <c r="L996" s="7" t="str">
        <f>_xlfn.XLOOKUP(crimenes_cordoba_ampliado[[#This Row],[EDAD DELINCUENTE]],'Rango etareo'!$A$10:$A$25,'Rango etareo'!$B$10:$B$25,,-1)</f>
        <v>26 - 35</v>
      </c>
      <c r="M996" s="3" t="s">
        <v>21</v>
      </c>
      <c r="N996" s="3" t="str">
        <f>IF(crimenes_cordoba_ampliado[[#This Row],[Género Delincuente]]="Femenino","🚺","🚹")</f>
        <v>🚺</v>
      </c>
      <c r="O996">
        <v>4</v>
      </c>
      <c r="P996" s="1">
        <v>17464</v>
      </c>
      <c r="Q996" s="7">
        <f>INT((crimenes_cordoba_ampliado[[#This Row],[Fecha]]-crimenes_cordoba_ampliado[[#This Row],[Fecha Nac. Víctima]])/365)</f>
        <v>77</v>
      </c>
      <c r="R996" s="7" t="str">
        <f>_xlfn.XLOOKUP(crimenes_cordoba_ampliado[[#This Row],[EDAD VICTIMA]],'Rango etareo'!$A$2:$A$25,'Rango etareo'!$B$2:$B$25,,-1)</f>
        <v>&gt;65</v>
      </c>
      <c r="S996" s="3" t="s">
        <v>22</v>
      </c>
      <c r="T996" s="3" t="str">
        <f>IF(crimenes_cordoba_ampliado[[#This Row],[Género Víctima]]="Masculino","🚹","🚺")</f>
        <v>🚹</v>
      </c>
      <c r="U996">
        <v>1</v>
      </c>
      <c r="V996" s="3" t="s">
        <v>25</v>
      </c>
      <c r="W996" s="3" t="s">
        <v>24</v>
      </c>
      <c r="X996" s="3" t="s">
        <v>29</v>
      </c>
      <c r="Y996" s="3" t="s">
        <v>24</v>
      </c>
      <c r="Z996" s="3" t="s">
        <v>25</v>
      </c>
      <c r="AA996" s="3" t="s">
        <v>25</v>
      </c>
      <c r="AB996" s="3" t="str">
        <f>IF(crimenes_cordoba_ampliado[[#This Row],[Hubo Arresto]]="Sí", "Resuelto", "Pendiente")</f>
        <v>Pendiente</v>
      </c>
      <c r="AC996" s="3" t="s">
        <v>24</v>
      </c>
      <c r="AD996" s="3"/>
    </row>
    <row r="997" spans="1:30" x14ac:dyDescent="0.25">
      <c r="A997">
        <v>991</v>
      </c>
      <c r="B997" s="1">
        <v>45097</v>
      </c>
      <c r="C997" s="33">
        <f t="shared" si="30"/>
        <v>45097</v>
      </c>
      <c r="D997" s="34">
        <f t="shared" si="31"/>
        <v>45097</v>
      </c>
      <c r="E997" s="35" t="s">
        <v>1453</v>
      </c>
      <c r="F997" s="2">
        <v>0.89583333333333337</v>
      </c>
      <c r="G997" s="3" t="s">
        <v>42</v>
      </c>
      <c r="H997" s="3" t="s">
        <v>52</v>
      </c>
      <c r="I997" s="25" t="str">
        <f>VLOOKUP(H997,Tabla5[#All],4,FALSE)</f>
        <v>-31,3477902896523, -64,2644406169297</v>
      </c>
      <c r="J997" s="1">
        <v>33657</v>
      </c>
      <c r="K997" s="7">
        <f>INT((crimenes_cordoba_ampliado[[#This Row],[Fecha]]-crimenes_cordoba_ampliado[[#This Row],[Fecha Nac. Delincuente]])/365)</f>
        <v>31</v>
      </c>
      <c r="L997" s="7" t="str">
        <f>_xlfn.XLOOKUP(crimenes_cordoba_ampliado[[#This Row],[EDAD DELINCUENTE]],'Rango etareo'!$A$10:$A$25,'Rango etareo'!$B$10:$B$25,,-1)</f>
        <v>26 - 35</v>
      </c>
      <c r="M997" s="3" t="s">
        <v>21</v>
      </c>
      <c r="N997" s="3" t="str">
        <f>IF(crimenes_cordoba_ampliado[[#This Row],[Género Delincuente]]="Femenino","🚺","🚹")</f>
        <v>🚺</v>
      </c>
      <c r="O997">
        <v>4</v>
      </c>
      <c r="P997" s="1">
        <v>26409</v>
      </c>
      <c r="Q997" s="7">
        <f>INT((crimenes_cordoba_ampliado[[#This Row],[Fecha]]-crimenes_cordoba_ampliado[[#This Row],[Fecha Nac. Víctima]])/365)</f>
        <v>51</v>
      </c>
      <c r="R997" s="7" t="str">
        <f>_xlfn.XLOOKUP(crimenes_cordoba_ampliado[[#This Row],[EDAD VICTIMA]],'Rango etareo'!$A$2:$A$25,'Rango etareo'!$B$2:$B$25,,-1)</f>
        <v>46 - 55</v>
      </c>
      <c r="S997" s="3" t="s">
        <v>21</v>
      </c>
      <c r="T997" s="3" t="str">
        <f>IF(crimenes_cordoba_ampliado[[#This Row],[Género Víctima]]="Masculino","🚹","🚺")</f>
        <v>🚺</v>
      </c>
      <c r="U997">
        <v>1</v>
      </c>
      <c r="V997" s="3" t="s">
        <v>23</v>
      </c>
      <c r="W997" s="3" t="s">
        <v>63</v>
      </c>
      <c r="X997" s="3" t="s">
        <v>29</v>
      </c>
      <c r="Y997" s="3" t="s">
        <v>24</v>
      </c>
      <c r="Z997" s="3" t="s">
        <v>23</v>
      </c>
      <c r="AA997" s="3" t="s">
        <v>23</v>
      </c>
      <c r="AB997" s="3" t="str">
        <f>IF(crimenes_cordoba_ampliado[[#This Row],[Hubo Arresto]]="Sí", "Resuelto", "Pendiente")</f>
        <v>Resuelto</v>
      </c>
      <c r="AC997" s="3" t="s">
        <v>281</v>
      </c>
      <c r="AD997" s="3"/>
    </row>
    <row r="998" spans="1:30" x14ac:dyDescent="0.25">
      <c r="A998">
        <v>993</v>
      </c>
      <c r="B998" s="1">
        <v>44032</v>
      </c>
      <c r="C998" s="33">
        <f t="shared" si="30"/>
        <v>44032</v>
      </c>
      <c r="D998" s="34">
        <f t="shared" si="31"/>
        <v>44032</v>
      </c>
      <c r="E998" s="35" t="s">
        <v>1452</v>
      </c>
      <c r="F998" s="2">
        <v>0.41875000000000001</v>
      </c>
      <c r="G998" s="3" t="s">
        <v>31</v>
      </c>
      <c r="H998" s="3" t="s">
        <v>40</v>
      </c>
      <c r="I998" s="25" t="str">
        <f>VLOOKUP(H998,Tabla5[#All],4,FALSE)</f>
        <v>-31,334500143441, -64,2460773260564</v>
      </c>
      <c r="J998" s="1">
        <v>26969</v>
      </c>
      <c r="K998" s="7">
        <f>INT((crimenes_cordoba_ampliado[[#This Row],[Fecha]]-crimenes_cordoba_ampliado[[#This Row],[Fecha Nac. Delincuente]])/365)</f>
        <v>46</v>
      </c>
      <c r="L998" s="7" t="str">
        <f>_xlfn.XLOOKUP(crimenes_cordoba_ampliado[[#This Row],[EDAD DELINCUENTE]],'Rango etareo'!$A$10:$A$25,'Rango etareo'!$B$10:$B$25,,-1)</f>
        <v>46 - 55</v>
      </c>
      <c r="M998" s="3" t="s">
        <v>22</v>
      </c>
      <c r="N998" s="3" t="str">
        <f>IF(crimenes_cordoba_ampliado[[#This Row],[Género Delincuente]]="Femenino","🚺","🚹")</f>
        <v>🚹</v>
      </c>
      <c r="O998">
        <v>2</v>
      </c>
      <c r="P998" s="1">
        <v>20807</v>
      </c>
      <c r="Q998" s="7">
        <f>INT((crimenes_cordoba_ampliado[[#This Row],[Fecha]]-crimenes_cordoba_ampliado[[#This Row],[Fecha Nac. Víctima]])/365)</f>
        <v>63</v>
      </c>
      <c r="R998" s="7" t="str">
        <f>_xlfn.XLOOKUP(crimenes_cordoba_ampliado[[#This Row],[EDAD VICTIMA]],'Rango etareo'!$A$2:$A$25,'Rango etareo'!$B$2:$B$25,,-1)</f>
        <v>56 - 65</v>
      </c>
      <c r="S998" s="3" t="s">
        <v>22</v>
      </c>
      <c r="T998" s="3" t="str">
        <f>IF(crimenes_cordoba_ampliado[[#This Row],[Género Víctima]]="Masculino","🚹","🚺")</f>
        <v>🚹</v>
      </c>
      <c r="U998">
        <v>1</v>
      </c>
      <c r="V998" s="3" t="s">
        <v>23</v>
      </c>
      <c r="W998" s="3" t="s">
        <v>24</v>
      </c>
      <c r="X998" s="3" t="s">
        <v>24</v>
      </c>
      <c r="Y998" s="3" t="s">
        <v>43</v>
      </c>
      <c r="Z998" s="3" t="s">
        <v>23</v>
      </c>
      <c r="AA998" s="3" t="s">
        <v>23</v>
      </c>
      <c r="AB998" s="3" t="str">
        <f>IF(crimenes_cordoba_ampliado[[#This Row],[Hubo Arresto]]="Sí", "Resuelto", "Pendiente")</f>
        <v>Resuelto</v>
      </c>
      <c r="AC998" s="3" t="s">
        <v>160</v>
      </c>
      <c r="AD998" s="3"/>
    </row>
    <row r="999" spans="1:30" x14ac:dyDescent="0.25">
      <c r="A999">
        <v>997</v>
      </c>
      <c r="B999" s="1">
        <v>45460</v>
      </c>
      <c r="C999" s="33">
        <f t="shared" si="30"/>
        <v>45460</v>
      </c>
      <c r="D999" s="34">
        <f t="shared" si="31"/>
        <v>45460</v>
      </c>
      <c r="E999" s="35" t="s">
        <v>1452</v>
      </c>
      <c r="F999" s="2">
        <v>0.88472222222222219</v>
      </c>
      <c r="G999" s="3" t="s">
        <v>19</v>
      </c>
      <c r="H999" s="3" t="s">
        <v>20</v>
      </c>
      <c r="I999" s="25" t="str">
        <f>VLOOKUP(H999,Tabla5[#All],4,FALSE)</f>
        <v>-31,4800162965848, -64,2094200976892</v>
      </c>
      <c r="J999" s="1">
        <v>27511</v>
      </c>
      <c r="K999" s="7">
        <f>INT((crimenes_cordoba_ampliado[[#This Row],[Fecha]]-crimenes_cordoba_ampliado[[#This Row],[Fecha Nac. Delincuente]])/365)</f>
        <v>49</v>
      </c>
      <c r="L999" s="7" t="str">
        <f>_xlfn.XLOOKUP(crimenes_cordoba_ampliado[[#This Row],[EDAD DELINCUENTE]],'Rango etareo'!$A$10:$A$25,'Rango etareo'!$B$10:$B$25,,-1)</f>
        <v>46 - 55</v>
      </c>
      <c r="M999" s="3" t="s">
        <v>21</v>
      </c>
      <c r="N999" s="3" t="str">
        <f>IF(crimenes_cordoba_ampliado[[#This Row],[Género Delincuente]]="Femenino","🚺","🚹")</f>
        <v>🚺</v>
      </c>
      <c r="O999">
        <v>3</v>
      </c>
      <c r="P999" s="1">
        <v>22862</v>
      </c>
      <c r="Q999" s="7">
        <f>INT((crimenes_cordoba_ampliado[[#This Row],[Fecha]]-crimenes_cordoba_ampliado[[#This Row],[Fecha Nac. Víctima]])/365)</f>
        <v>61</v>
      </c>
      <c r="R999" s="7" t="str">
        <f>_xlfn.XLOOKUP(crimenes_cordoba_ampliado[[#This Row],[EDAD VICTIMA]],'Rango etareo'!$A$2:$A$25,'Rango etareo'!$B$2:$B$25,,-1)</f>
        <v>56 - 65</v>
      </c>
      <c r="S999" s="3" t="s">
        <v>21</v>
      </c>
      <c r="T999" s="3" t="str">
        <f>IF(crimenes_cordoba_ampliado[[#This Row],[Género Víctima]]="Masculino","🚹","🚺")</f>
        <v>🚺</v>
      </c>
      <c r="U999">
        <v>1</v>
      </c>
      <c r="V999" s="3" t="s">
        <v>23</v>
      </c>
      <c r="W999" s="3" t="s">
        <v>63</v>
      </c>
      <c r="X999" s="3" t="s">
        <v>24</v>
      </c>
      <c r="Y999" s="3" t="s">
        <v>64</v>
      </c>
      <c r="Z999" s="3" t="s">
        <v>25</v>
      </c>
      <c r="AA999" s="3" t="s">
        <v>23</v>
      </c>
      <c r="AB999" s="3" t="str">
        <f>IF(crimenes_cordoba_ampliado[[#This Row],[Hubo Arresto]]="Sí", "Resuelto", "Pendiente")</f>
        <v>Resuelto</v>
      </c>
      <c r="AC999" s="3" t="s">
        <v>257</v>
      </c>
      <c r="AD999" s="3"/>
    </row>
    <row r="1000" spans="1:30" x14ac:dyDescent="0.25">
      <c r="A1000">
        <v>998</v>
      </c>
      <c r="B1000" s="1">
        <v>44953</v>
      </c>
      <c r="C1000" s="33">
        <f t="shared" si="30"/>
        <v>44953</v>
      </c>
      <c r="D1000" s="34">
        <f t="shared" si="31"/>
        <v>44953</v>
      </c>
      <c r="E1000" s="35" t="s">
        <v>1455</v>
      </c>
      <c r="F1000" s="2">
        <v>0.5625</v>
      </c>
      <c r="G1000" s="3" t="s">
        <v>27</v>
      </c>
      <c r="H1000" s="3" t="s">
        <v>32</v>
      </c>
      <c r="I1000" s="25" t="str">
        <f>VLOOKUP(H1000,Tabla5[#All],4,FALSE)</f>
        <v>-31,4148488101991, -64,1793406489438</v>
      </c>
      <c r="J1000" s="1">
        <v>34213</v>
      </c>
      <c r="K1000" s="7">
        <f>INT((crimenes_cordoba_ampliado[[#This Row],[Fecha]]-crimenes_cordoba_ampliado[[#This Row],[Fecha Nac. Delincuente]])/365)</f>
        <v>29</v>
      </c>
      <c r="L1000" s="7" t="str">
        <f>_xlfn.XLOOKUP(crimenes_cordoba_ampliado[[#This Row],[EDAD DELINCUENTE]],'Rango etareo'!$A$10:$A$25,'Rango etareo'!$B$10:$B$25,,-1)</f>
        <v>26 - 35</v>
      </c>
      <c r="M1000" s="3" t="s">
        <v>21</v>
      </c>
      <c r="N1000" s="3" t="str">
        <f>IF(crimenes_cordoba_ampliado[[#This Row],[Género Delincuente]]="Femenino","🚺","🚹")</f>
        <v>🚺</v>
      </c>
      <c r="O1000">
        <v>4</v>
      </c>
      <c r="P1000" s="1">
        <v>33414</v>
      </c>
      <c r="Q1000" s="7">
        <f>INT((crimenes_cordoba_ampliado[[#This Row],[Fecha]]-crimenes_cordoba_ampliado[[#This Row],[Fecha Nac. Víctima]])/365)</f>
        <v>31</v>
      </c>
      <c r="R1000" s="7" t="str">
        <f>_xlfn.XLOOKUP(crimenes_cordoba_ampliado[[#This Row],[EDAD VICTIMA]],'Rango etareo'!$A$2:$A$25,'Rango etareo'!$B$2:$B$25,,-1)</f>
        <v>26 - 35</v>
      </c>
      <c r="S1000" s="3" t="s">
        <v>21</v>
      </c>
      <c r="T1000" s="3" t="str">
        <f>IF(crimenes_cordoba_ampliado[[#This Row],[Género Víctima]]="Masculino","🚹","🚺")</f>
        <v>🚺</v>
      </c>
      <c r="U1000">
        <v>1</v>
      </c>
      <c r="V1000" s="3" t="s">
        <v>23</v>
      </c>
      <c r="W1000" s="3" t="s">
        <v>24</v>
      </c>
      <c r="X1000" s="3" t="s">
        <v>24</v>
      </c>
      <c r="Y1000" s="3" t="s">
        <v>39</v>
      </c>
      <c r="Z1000" s="3" t="s">
        <v>25</v>
      </c>
      <c r="AA1000" s="3" t="s">
        <v>25</v>
      </c>
      <c r="AB1000" s="3" t="str">
        <f>IF(crimenes_cordoba_ampliado[[#This Row],[Hubo Arresto]]="Sí", "Resuelto", "Pendiente")</f>
        <v>Resuelto</v>
      </c>
      <c r="AC1000" s="3" t="s">
        <v>92</v>
      </c>
      <c r="AD1000" s="3"/>
    </row>
    <row r="1001" spans="1:30" x14ac:dyDescent="0.25">
      <c r="A1001">
        <v>296</v>
      </c>
      <c r="B1001" s="1">
        <v>45655</v>
      </c>
      <c r="C1001" s="33">
        <f t="shared" ref="C1001" si="32">B:B</f>
        <v>45655</v>
      </c>
      <c r="D1001" s="34">
        <f t="shared" ref="D1001" si="33">B:B</f>
        <v>45655</v>
      </c>
      <c r="E1001" s="35" t="s">
        <v>1449</v>
      </c>
      <c r="F1001" s="2">
        <v>0.88124999999999998</v>
      </c>
      <c r="G1001" s="3" t="s">
        <v>42</v>
      </c>
      <c r="H1001" s="3" t="s">
        <v>60</v>
      </c>
      <c r="I1001" s="25" t="str">
        <f>VLOOKUP(H1001,Tabla5[#All],4,FALSE)</f>
        <v>-31,4076397196409, -64,2020170430678</v>
      </c>
      <c r="J1001" s="1">
        <v>26134</v>
      </c>
      <c r="K1001" s="7">
        <f>INT((crimenes_cordoba_ampliado[[#This Row],[Fecha]]-crimenes_cordoba_ampliado[[#This Row],[Fecha Nac. Delincuente]])/365)</f>
        <v>53</v>
      </c>
      <c r="L1001" s="7" t="str">
        <f>_xlfn.XLOOKUP(crimenes_cordoba_ampliado[[#This Row],[EDAD DELINCUENTE]],'Rango etareo'!$A$10:$A$25,'Rango etareo'!$B$10:$B$25,,-1)</f>
        <v>46 - 55</v>
      </c>
      <c r="M1001" s="3" t="s">
        <v>21</v>
      </c>
      <c r="N1001" s="3" t="str">
        <f>IF(crimenes_cordoba_ampliado[[#This Row],[Género Delincuente]]="Femenino","🚺","🚹")</f>
        <v>🚺</v>
      </c>
      <c r="O1001">
        <v>5</v>
      </c>
      <c r="P1001" s="1">
        <v>21446</v>
      </c>
      <c r="Q1001" s="7">
        <f>INT((crimenes_cordoba_ampliado[[#This Row],[Fecha]]-crimenes_cordoba_ampliado[[#This Row],[Fecha Nac. Víctima]])/365)</f>
        <v>66</v>
      </c>
      <c r="R1001" s="7" t="str">
        <f>_xlfn.XLOOKUP(crimenes_cordoba_ampliado[[#This Row],[EDAD VICTIMA]],'Rango etareo'!$A$2:$A$25,'Rango etareo'!$B$2:$B$25,,-1)</f>
        <v>&gt;65</v>
      </c>
      <c r="S1001" s="3" t="s">
        <v>22</v>
      </c>
      <c r="T1001" s="3" t="str">
        <f>IF(crimenes_cordoba_ampliado[[#This Row],[Género Víctima]]="Masculino","🚹","🚺")</f>
        <v>🚹</v>
      </c>
      <c r="U1001">
        <v>3</v>
      </c>
      <c r="V1001" s="3" t="s">
        <v>25</v>
      </c>
      <c r="W1001" s="3" t="s">
        <v>36</v>
      </c>
      <c r="X1001" s="3" t="s">
        <v>24</v>
      </c>
      <c r="Y1001" s="3" t="s">
        <v>101</v>
      </c>
      <c r="Z1001" s="3" t="s">
        <v>25</v>
      </c>
      <c r="AA1001" s="3" t="s">
        <v>25</v>
      </c>
      <c r="AB1001" s="3" t="str">
        <f>IF(crimenes_cordoba_ampliado[[#This Row],[Hubo Arresto]]="Sí", "Resuelto", "Pendiente")</f>
        <v>Pendiente</v>
      </c>
      <c r="AC1001" s="3" t="s">
        <v>24</v>
      </c>
      <c r="AD1001" s="3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correcto" error="Por favor ingrese una de las opciones preestablecidas" promptTitle="Seleccione" prompt="Por favor seleccione una de las opciones preestablecidas" xr:uid="{5C120A99-B1F2-452B-B131-18047524CC45}">
          <x14:formula1>
            <xm:f>'Tipos de delitos x año'!$A$5:$A$16</xm:f>
          </x14:formula1>
          <xm:sqref>G1:G1048576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952B6-675D-4F99-9560-6977B17DA652}">
  <sheetPr codeName="Hoja4"/>
  <dimension ref="A4:Y18"/>
  <sheetViews>
    <sheetView workbookViewId="0">
      <selection activeCell="E21" sqref="E21"/>
    </sheetView>
  </sheetViews>
  <sheetFormatPr baseColWidth="10" defaultRowHeight="15" x14ac:dyDescent="0.25"/>
  <cols>
    <col min="1" max="1" width="3.42578125" style="15" customWidth="1"/>
    <col min="2" max="14" width="11.42578125" style="15"/>
    <col min="15" max="16" width="1.28515625" style="15" customWidth="1"/>
    <col min="17" max="17" width="11.42578125" style="15"/>
    <col min="18" max="18" width="11.42578125" style="15" customWidth="1"/>
    <col min="19" max="16384" width="11.42578125" style="15"/>
  </cols>
  <sheetData>
    <row r="4" spans="1:25" x14ac:dyDescent="0.25">
      <c r="C4" s="46"/>
    </row>
    <row r="6" spans="1:25" ht="17.25" x14ac:dyDescent="0.3">
      <c r="B6" s="77" t="s">
        <v>1471</v>
      </c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</row>
    <row r="7" spans="1:25" x14ac:dyDescent="0.25"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</row>
    <row r="8" spans="1:25" x14ac:dyDescent="0.25"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</row>
    <row r="9" spans="1:25" x14ac:dyDescent="0.25">
      <c r="A9" s="91">
        <v>1</v>
      </c>
      <c r="B9" s="89" t="s">
        <v>1465</v>
      </c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 t="s">
        <v>1466</v>
      </c>
      <c r="R9" s="82"/>
      <c r="S9" s="82"/>
      <c r="T9" s="82"/>
      <c r="U9" s="82"/>
      <c r="V9" s="82"/>
      <c r="W9" s="82"/>
      <c r="X9" s="83"/>
      <c r="Y9" s="44"/>
    </row>
    <row r="10" spans="1:25" x14ac:dyDescent="0.25">
      <c r="A10" s="92">
        <v>2</v>
      </c>
      <c r="B10" s="81" t="s">
        <v>1469</v>
      </c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 t="s">
        <v>1470</v>
      </c>
      <c r="R10" s="82"/>
      <c r="S10" s="82"/>
      <c r="T10" s="82"/>
      <c r="U10" s="82"/>
      <c r="V10" s="82"/>
      <c r="W10" s="82"/>
      <c r="X10" s="83"/>
      <c r="Y10" s="44"/>
    </row>
    <row r="11" spans="1:25" x14ac:dyDescent="0.25">
      <c r="A11" s="92">
        <v>3</v>
      </c>
      <c r="B11" s="86" t="s">
        <v>1459</v>
      </c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 t="s">
        <v>1457</v>
      </c>
      <c r="R11" s="87"/>
      <c r="S11" s="87"/>
      <c r="T11" s="87"/>
      <c r="U11" s="87"/>
      <c r="V11" s="87"/>
      <c r="W11" s="87"/>
      <c r="X11" s="88"/>
      <c r="Y11" s="44"/>
    </row>
    <row r="12" spans="1:25" x14ac:dyDescent="0.25">
      <c r="A12" s="93"/>
      <c r="B12" s="78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 t="s">
        <v>1458</v>
      </c>
      <c r="R12" s="79"/>
      <c r="S12" s="79"/>
      <c r="T12" s="79"/>
      <c r="U12" s="79"/>
      <c r="V12" s="79"/>
      <c r="W12" s="79"/>
      <c r="X12" s="80"/>
      <c r="Y12" s="44"/>
    </row>
    <row r="13" spans="1:25" x14ac:dyDescent="0.25">
      <c r="A13" s="91">
        <v>4</v>
      </c>
      <c r="B13" s="81" t="s">
        <v>1460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 t="s">
        <v>1461</v>
      </c>
      <c r="R13" s="82"/>
      <c r="S13" s="82"/>
      <c r="T13" s="82"/>
      <c r="U13" s="82"/>
      <c r="V13" s="82"/>
      <c r="W13" s="82"/>
      <c r="X13" s="83"/>
      <c r="Y13" s="44"/>
    </row>
    <row r="14" spans="1:25" x14ac:dyDescent="0.25">
      <c r="A14" s="92">
        <v>5</v>
      </c>
      <c r="B14" s="81" t="s">
        <v>1463</v>
      </c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 t="s">
        <v>1462</v>
      </c>
      <c r="R14" s="82"/>
      <c r="S14" s="82"/>
      <c r="T14" s="82"/>
      <c r="U14" s="82"/>
      <c r="V14" s="82"/>
      <c r="W14" s="82"/>
      <c r="X14" s="83"/>
      <c r="Y14" s="44"/>
    </row>
    <row r="15" spans="1:25" x14ac:dyDescent="0.25">
      <c r="A15" s="92">
        <v>6</v>
      </c>
      <c r="B15" s="84" t="s">
        <v>1464</v>
      </c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 t="s">
        <v>1467</v>
      </c>
      <c r="R15" s="72"/>
      <c r="S15" s="72"/>
      <c r="T15" s="72"/>
      <c r="U15" s="72"/>
      <c r="V15" s="72"/>
      <c r="W15" s="72"/>
      <c r="X15" s="85"/>
      <c r="Y15" s="44"/>
    </row>
    <row r="16" spans="1:25" x14ac:dyDescent="0.25">
      <c r="A16" s="90"/>
      <c r="B16" s="78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 t="s">
        <v>1468</v>
      </c>
      <c r="R16" s="79"/>
      <c r="S16" s="79"/>
      <c r="T16" s="79"/>
      <c r="U16" s="79"/>
      <c r="V16" s="79"/>
      <c r="W16" s="79"/>
      <c r="X16" s="80"/>
      <c r="Y16" s="44"/>
    </row>
    <row r="17" spans="2:25" x14ac:dyDescent="0.25"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</row>
    <row r="18" spans="2:25" x14ac:dyDescent="0.25"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398D7-5957-4D0A-8DDF-20BB591B2B5F}">
  <sheetPr codeName="Hoja5"/>
  <dimension ref="A1:B25"/>
  <sheetViews>
    <sheetView workbookViewId="0">
      <selection activeCell="E3" sqref="E3:H10"/>
    </sheetView>
  </sheetViews>
  <sheetFormatPr baseColWidth="10" defaultRowHeight="15" x14ac:dyDescent="0.25"/>
  <cols>
    <col min="1" max="1" width="5.85546875" bestFit="1" customWidth="1"/>
    <col min="2" max="2" width="14.42578125" bestFit="1" customWidth="1"/>
    <col min="3" max="3" width="10.7109375" bestFit="1" customWidth="1"/>
    <col min="4" max="4" width="12.7109375" bestFit="1" customWidth="1"/>
    <col min="5" max="5" width="22.42578125" bestFit="1" customWidth="1"/>
    <col min="6" max="7" width="4" bestFit="1" customWidth="1"/>
    <col min="8" max="8" width="12.5703125" bestFit="1" customWidth="1"/>
    <col min="9" max="9" width="15.85546875" bestFit="1" customWidth="1"/>
    <col min="10" max="10" width="3" bestFit="1" customWidth="1"/>
    <col min="11" max="11" width="19" bestFit="1" customWidth="1"/>
    <col min="12" max="12" width="9.42578125" bestFit="1" customWidth="1"/>
    <col min="13" max="13" width="4" bestFit="1" customWidth="1"/>
    <col min="14" max="14" width="12.42578125" bestFit="1" customWidth="1"/>
    <col min="15" max="15" width="21" bestFit="1" customWidth="1"/>
    <col min="16" max="16" width="3" bestFit="1" customWidth="1"/>
    <col min="17" max="17" width="24.140625" bestFit="1" customWidth="1"/>
    <col min="18" max="18" width="10.42578125" bestFit="1" customWidth="1"/>
    <col min="19" max="19" width="3" bestFit="1" customWidth="1"/>
    <col min="20" max="20" width="13.42578125" bestFit="1" customWidth="1"/>
    <col min="21" max="21" width="12.5703125" bestFit="1" customWidth="1"/>
    <col min="22" max="22" width="3.28515625" bestFit="1" customWidth="1"/>
    <col min="23" max="24" width="4.140625" bestFit="1" customWidth="1"/>
    <col min="25" max="25" width="3.7109375" bestFit="1" customWidth="1"/>
    <col min="26" max="26" width="4.28515625" bestFit="1" customWidth="1"/>
    <col min="27" max="27" width="3.5703125" bestFit="1" customWidth="1"/>
    <col min="28" max="29" width="12.5703125" bestFit="1" customWidth="1"/>
  </cols>
  <sheetData>
    <row r="1" spans="1:2" x14ac:dyDescent="0.25">
      <c r="A1" t="s">
        <v>1333</v>
      </c>
      <c r="B1" t="s">
        <v>1334</v>
      </c>
    </row>
    <row r="2" spans="1:2" x14ac:dyDescent="0.25">
      <c r="A2">
        <v>0</v>
      </c>
      <c r="B2" s="8" t="s">
        <v>1342</v>
      </c>
    </row>
    <row r="3" spans="1:2" x14ac:dyDescent="0.25">
      <c r="A3">
        <v>1</v>
      </c>
      <c r="B3" s="8" t="s">
        <v>1342</v>
      </c>
    </row>
    <row r="4" spans="1:2" x14ac:dyDescent="0.25">
      <c r="A4">
        <v>2</v>
      </c>
      <c r="B4" s="8" t="s">
        <v>1342</v>
      </c>
    </row>
    <row r="5" spans="1:2" x14ac:dyDescent="0.25">
      <c r="A5">
        <v>3</v>
      </c>
      <c r="B5" s="8" t="s">
        <v>1342</v>
      </c>
    </row>
    <row r="6" spans="1:2" x14ac:dyDescent="0.25">
      <c r="A6">
        <v>4</v>
      </c>
      <c r="B6" s="8" t="s">
        <v>1342</v>
      </c>
    </row>
    <row r="7" spans="1:2" x14ac:dyDescent="0.25">
      <c r="A7">
        <v>5</v>
      </c>
      <c r="B7" s="8" t="s">
        <v>1342</v>
      </c>
    </row>
    <row r="8" spans="1:2" x14ac:dyDescent="0.25">
      <c r="A8">
        <v>6</v>
      </c>
      <c r="B8" s="8" t="s">
        <v>1342</v>
      </c>
    </row>
    <row r="9" spans="1:2" x14ac:dyDescent="0.25">
      <c r="A9">
        <v>7</v>
      </c>
      <c r="B9" s="8" t="s">
        <v>1342</v>
      </c>
    </row>
    <row r="10" spans="1:2" x14ac:dyDescent="0.25">
      <c r="A10">
        <v>8</v>
      </c>
      <c r="B10" s="8" t="s">
        <v>1342</v>
      </c>
    </row>
    <row r="11" spans="1:2" x14ac:dyDescent="0.25">
      <c r="A11">
        <v>9</v>
      </c>
      <c r="B11" s="8" t="s">
        <v>1342</v>
      </c>
    </row>
    <row r="12" spans="1:2" x14ac:dyDescent="0.25">
      <c r="A12">
        <v>10</v>
      </c>
      <c r="B12" s="8" t="s">
        <v>1342</v>
      </c>
    </row>
    <row r="13" spans="1:2" x14ac:dyDescent="0.25">
      <c r="A13">
        <v>11</v>
      </c>
      <c r="B13" s="8" t="s">
        <v>1342</v>
      </c>
    </row>
    <row r="14" spans="1:2" x14ac:dyDescent="0.25">
      <c r="A14">
        <v>12</v>
      </c>
      <c r="B14" s="8" t="s">
        <v>1342</v>
      </c>
    </row>
    <row r="15" spans="1:2" x14ac:dyDescent="0.25">
      <c r="A15">
        <v>13</v>
      </c>
      <c r="B15" s="8" t="s">
        <v>1342</v>
      </c>
    </row>
    <row r="16" spans="1:2" x14ac:dyDescent="0.25">
      <c r="A16">
        <v>14</v>
      </c>
      <c r="B16" s="8" t="s">
        <v>1342</v>
      </c>
    </row>
    <row r="17" spans="1:2" x14ac:dyDescent="0.25">
      <c r="A17">
        <v>15</v>
      </c>
      <c r="B17" s="8" t="s">
        <v>1342</v>
      </c>
    </row>
    <row r="18" spans="1:2" x14ac:dyDescent="0.25">
      <c r="A18">
        <v>16</v>
      </c>
      <c r="B18" s="8" t="s">
        <v>1342</v>
      </c>
    </row>
    <row r="19" spans="1:2" x14ac:dyDescent="0.25">
      <c r="A19" s="8">
        <v>17</v>
      </c>
      <c r="B19" s="8" t="s">
        <v>1342</v>
      </c>
    </row>
    <row r="20" spans="1:2" x14ac:dyDescent="0.25">
      <c r="A20">
        <v>18</v>
      </c>
      <c r="B20" t="s">
        <v>1335</v>
      </c>
    </row>
    <row r="21" spans="1:2" x14ac:dyDescent="0.25">
      <c r="A21">
        <v>26</v>
      </c>
      <c r="B21" t="s">
        <v>1336</v>
      </c>
    </row>
    <row r="22" spans="1:2" x14ac:dyDescent="0.25">
      <c r="A22">
        <v>36</v>
      </c>
      <c r="B22" t="s">
        <v>1337</v>
      </c>
    </row>
    <row r="23" spans="1:2" x14ac:dyDescent="0.25">
      <c r="A23">
        <v>46</v>
      </c>
      <c r="B23" t="s">
        <v>1338</v>
      </c>
    </row>
    <row r="24" spans="1:2" x14ac:dyDescent="0.25">
      <c r="A24">
        <v>56</v>
      </c>
      <c r="B24" t="s">
        <v>1339</v>
      </c>
    </row>
    <row r="25" spans="1:2" x14ac:dyDescent="0.25">
      <c r="A25">
        <v>65</v>
      </c>
      <c r="B25" s="8" t="s">
        <v>1340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3B13-48CE-427C-B794-76F97C780D46}">
  <sheetPr codeName="Hoja7"/>
  <dimension ref="A3:S57"/>
  <sheetViews>
    <sheetView showGridLines="0" zoomScaleNormal="100" workbookViewId="0">
      <selection activeCell="N31" sqref="N31"/>
    </sheetView>
  </sheetViews>
  <sheetFormatPr baseColWidth="10" defaultRowHeight="15" x14ac:dyDescent="0.25"/>
  <cols>
    <col min="1" max="1" width="22.42578125" bestFit="1" customWidth="1"/>
    <col min="2" max="2" width="8.85546875" bestFit="1" customWidth="1"/>
    <col min="3" max="3" width="4" bestFit="1" customWidth="1"/>
    <col min="4" max="4" width="11.85546875" bestFit="1" customWidth="1"/>
    <col min="5" max="5" width="9.5703125" bestFit="1" customWidth="1"/>
    <col min="6" max="6" width="3" bestFit="1" customWidth="1"/>
    <col min="7" max="7" width="12.5703125" bestFit="1" customWidth="1"/>
    <col min="8" max="8" width="8.42578125" bestFit="1" customWidth="1"/>
    <col min="9" max="9" width="8.85546875" bestFit="1" customWidth="1"/>
    <col min="10" max="10" width="4" bestFit="1" customWidth="1"/>
    <col min="11" max="11" width="11.85546875" bestFit="1" customWidth="1"/>
    <col min="12" max="12" width="9.5703125" bestFit="1" customWidth="1"/>
    <col min="13" max="13" width="3" bestFit="1" customWidth="1"/>
    <col min="14" max="14" width="12.5703125" bestFit="1" customWidth="1"/>
    <col min="15" max="15" width="7.42578125" bestFit="1" customWidth="1"/>
    <col min="16" max="16" width="12.5703125" bestFit="1" customWidth="1"/>
  </cols>
  <sheetData>
    <row r="3" spans="1:19" x14ac:dyDescent="0.25">
      <c r="A3" s="31" t="s">
        <v>1380</v>
      </c>
      <c r="B3" s="31" t="s">
        <v>1375</v>
      </c>
      <c r="R3" t="s">
        <v>1433</v>
      </c>
    </row>
    <row r="4" spans="1:19" x14ac:dyDescent="0.25">
      <c r="B4" t="s">
        <v>25</v>
      </c>
      <c r="H4" t="s">
        <v>1399</v>
      </c>
      <c r="I4" t="s">
        <v>23</v>
      </c>
      <c r="O4" t="s">
        <v>1400</v>
      </c>
      <c r="P4" t="s">
        <v>1349</v>
      </c>
      <c r="R4" s="73">
        <f>GETPIVOTDATA("Hubo Arresto",$A$3,"Hubo Arresto","Sí")*100/1000</f>
        <v>50.5</v>
      </c>
      <c r="S4" t="s">
        <v>1434</v>
      </c>
    </row>
    <row r="5" spans="1:19" x14ac:dyDescent="0.25">
      <c r="B5" t="s">
        <v>1397</v>
      </c>
      <c r="D5" t="s">
        <v>1401</v>
      </c>
      <c r="E5" t="s">
        <v>1398</v>
      </c>
      <c r="G5" t="s">
        <v>1402</v>
      </c>
      <c r="I5" t="s">
        <v>1397</v>
      </c>
      <c r="K5" t="s">
        <v>1401</v>
      </c>
      <c r="L5" t="s">
        <v>1398</v>
      </c>
      <c r="N5" t="s">
        <v>1402</v>
      </c>
    </row>
    <row r="6" spans="1:19" x14ac:dyDescent="0.25">
      <c r="A6" s="31" t="s">
        <v>1348</v>
      </c>
      <c r="B6" t="s">
        <v>25</v>
      </c>
      <c r="C6" t="s">
        <v>23</v>
      </c>
      <c r="E6" t="s">
        <v>25</v>
      </c>
      <c r="F6" t="s">
        <v>23</v>
      </c>
      <c r="I6" t="s">
        <v>25</v>
      </c>
      <c r="J6" t="s">
        <v>23</v>
      </c>
      <c r="L6" t="s">
        <v>25</v>
      </c>
      <c r="M6" t="s">
        <v>23</v>
      </c>
    </row>
    <row r="7" spans="1:19" x14ac:dyDescent="0.25">
      <c r="A7" s="32" t="s">
        <v>1351</v>
      </c>
      <c r="B7" s="3">
        <v>13</v>
      </c>
      <c r="C7" s="3">
        <v>8</v>
      </c>
      <c r="D7" s="3">
        <v>21</v>
      </c>
      <c r="E7" s="3">
        <v>12</v>
      </c>
      <c r="F7" s="3">
        <v>7</v>
      </c>
      <c r="G7" s="3">
        <v>19</v>
      </c>
      <c r="H7" s="3">
        <v>40</v>
      </c>
      <c r="I7" s="3">
        <v>24</v>
      </c>
      <c r="J7" s="3">
        <v>11</v>
      </c>
      <c r="K7" s="3">
        <v>35</v>
      </c>
      <c r="L7" s="3">
        <v>4</v>
      </c>
      <c r="M7" s="3">
        <v>9</v>
      </c>
      <c r="N7" s="3">
        <v>13</v>
      </c>
      <c r="O7" s="3">
        <v>48</v>
      </c>
      <c r="P7" s="3">
        <v>88</v>
      </c>
    </row>
    <row r="8" spans="1:19" x14ac:dyDescent="0.25">
      <c r="A8" s="32" t="s">
        <v>1364</v>
      </c>
      <c r="B8" s="3">
        <v>15</v>
      </c>
      <c r="C8" s="3">
        <v>15</v>
      </c>
      <c r="D8" s="3">
        <v>30</v>
      </c>
      <c r="E8" s="3">
        <v>10</v>
      </c>
      <c r="F8" s="3">
        <v>3</v>
      </c>
      <c r="G8" s="3">
        <v>13</v>
      </c>
      <c r="H8" s="3">
        <v>43</v>
      </c>
      <c r="I8" s="3">
        <v>14</v>
      </c>
      <c r="J8" s="3">
        <v>16</v>
      </c>
      <c r="K8" s="3">
        <v>30</v>
      </c>
      <c r="L8" s="3">
        <v>5</v>
      </c>
      <c r="M8" s="3">
        <v>9</v>
      </c>
      <c r="N8" s="3">
        <v>14</v>
      </c>
      <c r="O8" s="3">
        <v>44</v>
      </c>
      <c r="P8" s="3">
        <v>87</v>
      </c>
    </row>
    <row r="9" spans="1:19" x14ac:dyDescent="0.25">
      <c r="A9" s="32" t="s">
        <v>1365</v>
      </c>
      <c r="B9" s="3">
        <v>17</v>
      </c>
      <c r="C9" s="3">
        <v>15</v>
      </c>
      <c r="D9" s="3">
        <v>32</v>
      </c>
      <c r="E9" s="3">
        <v>9</v>
      </c>
      <c r="F9" s="3">
        <v>9</v>
      </c>
      <c r="G9" s="3">
        <v>18</v>
      </c>
      <c r="H9" s="3">
        <v>50</v>
      </c>
      <c r="I9" s="3">
        <v>20</v>
      </c>
      <c r="J9" s="3">
        <v>11</v>
      </c>
      <c r="K9" s="3">
        <v>31</v>
      </c>
      <c r="L9" s="3">
        <v>5</v>
      </c>
      <c r="M9" s="3">
        <v>9</v>
      </c>
      <c r="N9" s="3">
        <v>14</v>
      </c>
      <c r="O9" s="3">
        <v>45</v>
      </c>
      <c r="P9" s="3">
        <v>95</v>
      </c>
    </row>
    <row r="10" spans="1:19" x14ac:dyDescent="0.25">
      <c r="A10" s="32" t="s">
        <v>1366</v>
      </c>
      <c r="B10" s="3">
        <v>16</v>
      </c>
      <c r="C10" s="3">
        <v>11</v>
      </c>
      <c r="D10" s="3">
        <v>27</v>
      </c>
      <c r="E10" s="3">
        <v>9</v>
      </c>
      <c r="F10" s="3">
        <v>5</v>
      </c>
      <c r="G10" s="3">
        <v>14</v>
      </c>
      <c r="H10" s="3">
        <v>41</v>
      </c>
      <c r="I10" s="3">
        <v>25</v>
      </c>
      <c r="J10" s="3">
        <v>12</v>
      </c>
      <c r="K10" s="3">
        <v>37</v>
      </c>
      <c r="L10" s="3">
        <v>7</v>
      </c>
      <c r="M10" s="3">
        <v>4</v>
      </c>
      <c r="N10" s="3">
        <v>11</v>
      </c>
      <c r="O10" s="3">
        <v>48</v>
      </c>
      <c r="P10" s="3">
        <v>89</v>
      </c>
    </row>
    <row r="11" spans="1:19" x14ac:dyDescent="0.25">
      <c r="A11" s="32" t="s">
        <v>1367</v>
      </c>
      <c r="B11" s="3">
        <v>25</v>
      </c>
      <c r="C11" s="3">
        <v>21</v>
      </c>
      <c r="D11" s="3">
        <v>46</v>
      </c>
      <c r="E11" s="3">
        <v>11</v>
      </c>
      <c r="F11" s="3">
        <v>5</v>
      </c>
      <c r="G11" s="3">
        <v>16</v>
      </c>
      <c r="H11" s="3">
        <v>62</v>
      </c>
      <c r="I11" s="3">
        <v>28</v>
      </c>
      <c r="J11" s="3">
        <v>15</v>
      </c>
      <c r="K11" s="3">
        <v>43</v>
      </c>
      <c r="L11" s="3">
        <v>9</v>
      </c>
      <c r="M11" s="3">
        <v>7</v>
      </c>
      <c r="N11" s="3">
        <v>16</v>
      </c>
      <c r="O11" s="3">
        <v>59</v>
      </c>
      <c r="P11" s="3">
        <v>121</v>
      </c>
    </row>
    <row r="12" spans="1:19" x14ac:dyDescent="0.25">
      <c r="A12" s="32" t="s">
        <v>1368</v>
      </c>
      <c r="B12" s="3">
        <v>19</v>
      </c>
      <c r="C12" s="3">
        <v>17</v>
      </c>
      <c r="D12" s="3">
        <v>36</v>
      </c>
      <c r="E12" s="3">
        <v>7</v>
      </c>
      <c r="F12" s="3">
        <v>8</v>
      </c>
      <c r="G12" s="3">
        <v>15</v>
      </c>
      <c r="H12" s="3">
        <v>51</v>
      </c>
      <c r="I12" s="3">
        <v>13</v>
      </c>
      <c r="J12" s="3">
        <v>10</v>
      </c>
      <c r="K12" s="3">
        <v>23</v>
      </c>
      <c r="L12" s="3">
        <v>16</v>
      </c>
      <c r="M12" s="3">
        <v>8</v>
      </c>
      <c r="N12" s="3">
        <v>24</v>
      </c>
      <c r="O12" s="3">
        <v>47</v>
      </c>
      <c r="P12" s="3">
        <v>98</v>
      </c>
    </row>
    <row r="13" spans="1:19" x14ac:dyDescent="0.25">
      <c r="A13" s="32" t="s">
        <v>1369</v>
      </c>
      <c r="B13" s="3">
        <v>19</v>
      </c>
      <c r="C13" s="3">
        <v>20</v>
      </c>
      <c r="D13" s="3">
        <v>39</v>
      </c>
      <c r="E13" s="3">
        <v>10</v>
      </c>
      <c r="F13" s="3">
        <v>9</v>
      </c>
      <c r="G13" s="3">
        <v>19</v>
      </c>
      <c r="H13" s="3">
        <v>58</v>
      </c>
      <c r="I13" s="3">
        <v>25</v>
      </c>
      <c r="J13" s="3">
        <v>7</v>
      </c>
      <c r="K13" s="3">
        <v>32</v>
      </c>
      <c r="L13" s="3">
        <v>8</v>
      </c>
      <c r="M13" s="3">
        <v>5</v>
      </c>
      <c r="N13" s="3">
        <v>13</v>
      </c>
      <c r="O13" s="3">
        <v>45</v>
      </c>
      <c r="P13" s="3">
        <v>103</v>
      </c>
    </row>
    <row r="14" spans="1:19" x14ac:dyDescent="0.25">
      <c r="A14" s="32" t="s">
        <v>1370</v>
      </c>
      <c r="B14" s="3">
        <v>23</v>
      </c>
      <c r="C14" s="3">
        <v>13</v>
      </c>
      <c r="D14" s="3">
        <v>36</v>
      </c>
      <c r="E14" s="3">
        <v>9</v>
      </c>
      <c r="F14" s="3">
        <v>3</v>
      </c>
      <c r="G14" s="3">
        <v>12</v>
      </c>
      <c r="H14" s="3">
        <v>48</v>
      </c>
      <c r="I14" s="3">
        <v>16</v>
      </c>
      <c r="J14" s="3">
        <v>5</v>
      </c>
      <c r="K14" s="3">
        <v>21</v>
      </c>
      <c r="L14" s="3">
        <v>17</v>
      </c>
      <c r="M14" s="3">
        <v>7</v>
      </c>
      <c r="N14" s="3">
        <v>24</v>
      </c>
      <c r="O14" s="3">
        <v>45</v>
      </c>
      <c r="P14" s="3">
        <v>93</v>
      </c>
    </row>
    <row r="15" spans="1:19" x14ac:dyDescent="0.25">
      <c r="A15" s="32" t="s">
        <v>1371</v>
      </c>
      <c r="B15" s="3">
        <v>25</v>
      </c>
      <c r="C15" s="3">
        <v>15</v>
      </c>
      <c r="D15" s="3">
        <v>40</v>
      </c>
      <c r="E15" s="3">
        <v>8</v>
      </c>
      <c r="F15" s="3">
        <v>5</v>
      </c>
      <c r="G15" s="3">
        <v>13</v>
      </c>
      <c r="H15" s="3">
        <v>53</v>
      </c>
      <c r="I15" s="3">
        <v>35</v>
      </c>
      <c r="J15" s="3">
        <v>13</v>
      </c>
      <c r="K15" s="3">
        <v>48</v>
      </c>
      <c r="L15" s="3">
        <v>7</v>
      </c>
      <c r="M15" s="3">
        <v>7</v>
      </c>
      <c r="N15" s="3">
        <v>14</v>
      </c>
      <c r="O15" s="3">
        <v>62</v>
      </c>
      <c r="P15" s="3">
        <v>115</v>
      </c>
    </row>
    <row r="16" spans="1:19" x14ac:dyDescent="0.25">
      <c r="A16" s="32" t="s">
        <v>1372</v>
      </c>
      <c r="B16" s="3">
        <v>18</v>
      </c>
      <c r="C16" s="3">
        <v>16</v>
      </c>
      <c r="D16" s="3">
        <v>34</v>
      </c>
      <c r="E16" s="3">
        <v>8</v>
      </c>
      <c r="F16" s="3">
        <v>7</v>
      </c>
      <c r="G16" s="3">
        <v>15</v>
      </c>
      <c r="H16" s="3">
        <v>49</v>
      </c>
      <c r="I16" s="3">
        <v>27</v>
      </c>
      <c r="J16" s="3">
        <v>22</v>
      </c>
      <c r="K16" s="3">
        <v>49</v>
      </c>
      <c r="L16" s="3">
        <v>7</v>
      </c>
      <c r="M16" s="3">
        <v>6</v>
      </c>
      <c r="N16" s="3">
        <v>13</v>
      </c>
      <c r="O16" s="3">
        <v>62</v>
      </c>
      <c r="P16" s="3">
        <v>111</v>
      </c>
    </row>
    <row r="17" spans="1:16" x14ac:dyDescent="0.25">
      <c r="A17" s="32" t="s">
        <v>1349</v>
      </c>
      <c r="B17" s="3">
        <v>190</v>
      </c>
      <c r="C17" s="3">
        <v>151</v>
      </c>
      <c r="D17" s="3">
        <v>341</v>
      </c>
      <c r="E17" s="3">
        <v>93</v>
      </c>
      <c r="F17" s="3">
        <v>61</v>
      </c>
      <c r="G17" s="3">
        <v>154</v>
      </c>
      <c r="H17" s="3">
        <v>495</v>
      </c>
      <c r="I17" s="3">
        <v>227</v>
      </c>
      <c r="J17" s="3">
        <v>122</v>
      </c>
      <c r="K17" s="3">
        <v>349</v>
      </c>
      <c r="L17" s="3">
        <v>85</v>
      </c>
      <c r="M17" s="3">
        <v>71</v>
      </c>
      <c r="N17" s="3">
        <v>156</v>
      </c>
      <c r="O17" s="3">
        <v>505</v>
      </c>
      <c r="P17" s="3">
        <v>1000</v>
      </c>
    </row>
    <row r="20" spans="1:16" x14ac:dyDescent="0.25">
      <c r="A20" s="32" t="s">
        <v>1403</v>
      </c>
      <c r="D20" s="32" t="s">
        <v>1404</v>
      </c>
    </row>
    <row r="21" spans="1:16" x14ac:dyDescent="0.25">
      <c r="A21" s="37">
        <f>(I8 - I7) / I7</f>
        <v>-0.41666666666666669</v>
      </c>
      <c r="D21" s="37">
        <f>(M8 - M7) / M7</f>
        <v>0</v>
      </c>
    </row>
    <row r="22" spans="1:16" x14ac:dyDescent="0.25">
      <c r="A22" s="37">
        <f t="shared" ref="A22:A29" si="0">(I9 - I8) / I8</f>
        <v>0.42857142857142855</v>
      </c>
      <c r="D22" s="37">
        <f t="shared" ref="D22:D29" si="1">(M9 - M8) / M8</f>
        <v>0</v>
      </c>
    </row>
    <row r="23" spans="1:16" x14ac:dyDescent="0.25">
      <c r="A23" s="37">
        <f t="shared" si="0"/>
        <v>0.25</v>
      </c>
      <c r="D23" s="37">
        <f t="shared" si="1"/>
        <v>-0.55555555555555558</v>
      </c>
    </row>
    <row r="24" spans="1:16" x14ac:dyDescent="0.25">
      <c r="A24" s="37">
        <f t="shared" si="0"/>
        <v>0.12</v>
      </c>
      <c r="D24" s="37">
        <f t="shared" si="1"/>
        <v>0.75</v>
      </c>
    </row>
    <row r="25" spans="1:16" x14ac:dyDescent="0.25">
      <c r="A25" s="37">
        <f t="shared" si="0"/>
        <v>-0.5357142857142857</v>
      </c>
      <c r="D25" s="37">
        <f t="shared" si="1"/>
        <v>0.14285714285714285</v>
      </c>
    </row>
    <row r="26" spans="1:16" x14ac:dyDescent="0.25">
      <c r="A26" s="37">
        <f t="shared" si="0"/>
        <v>0.92307692307692313</v>
      </c>
      <c r="D26" s="37">
        <f t="shared" si="1"/>
        <v>-0.375</v>
      </c>
    </row>
    <row r="27" spans="1:16" x14ac:dyDescent="0.25">
      <c r="A27" s="37">
        <f t="shared" si="0"/>
        <v>-0.36</v>
      </c>
      <c r="D27" s="37">
        <f t="shared" si="1"/>
        <v>0.4</v>
      </c>
    </row>
    <row r="28" spans="1:16" x14ac:dyDescent="0.25">
      <c r="A28" s="37">
        <f t="shared" si="0"/>
        <v>1.1875</v>
      </c>
      <c r="D28" s="37">
        <f t="shared" si="1"/>
        <v>0</v>
      </c>
    </row>
    <row r="29" spans="1:16" x14ac:dyDescent="0.25">
      <c r="A29" s="37">
        <f t="shared" si="0"/>
        <v>-0.22857142857142856</v>
      </c>
      <c r="D29" s="37">
        <f t="shared" si="1"/>
        <v>-0.14285714285714285</v>
      </c>
    </row>
    <row r="31" spans="1:16" x14ac:dyDescent="0.25">
      <c r="A31" s="40">
        <f>AVERAGE(A21:A29)</f>
        <v>0.15202177452177454</v>
      </c>
      <c r="D31" s="39">
        <f>AVERAGE(D21:D29)</f>
        <v>2.4382716049382715E-2</v>
      </c>
    </row>
    <row r="34" spans="1:6" x14ac:dyDescent="0.25">
      <c r="A34" t="s">
        <v>1405</v>
      </c>
      <c r="B34" s="36">
        <f>12.74%</f>
        <v>0.12740000000000001</v>
      </c>
      <c r="D34" t="s">
        <v>1405</v>
      </c>
      <c r="F34" s="41">
        <f>7.59%</f>
        <v>7.5899999999999995E-2</v>
      </c>
    </row>
    <row r="48" spans="1:6" x14ac:dyDescent="0.25">
      <c r="A48" s="3">
        <v>5</v>
      </c>
      <c r="D48" s="3">
        <v>9</v>
      </c>
    </row>
    <row r="49" spans="1:4" x14ac:dyDescent="0.25">
      <c r="A49" s="3">
        <v>10</v>
      </c>
      <c r="D49" s="3">
        <v>9</v>
      </c>
    </row>
    <row r="50" spans="1:4" x14ac:dyDescent="0.25">
      <c r="A50" s="3">
        <v>7</v>
      </c>
      <c r="D50" s="3">
        <v>9</v>
      </c>
    </row>
    <row r="51" spans="1:4" x14ac:dyDescent="0.25">
      <c r="A51" s="3">
        <v>9</v>
      </c>
      <c r="D51" s="3">
        <v>4</v>
      </c>
    </row>
    <row r="52" spans="1:4" x14ac:dyDescent="0.25">
      <c r="A52" s="3">
        <v>19</v>
      </c>
      <c r="D52" s="3">
        <v>7</v>
      </c>
    </row>
    <row r="53" spans="1:4" x14ac:dyDescent="0.25">
      <c r="A53" s="3">
        <v>14</v>
      </c>
      <c r="D53" s="3">
        <v>8</v>
      </c>
    </row>
    <row r="54" spans="1:4" x14ac:dyDescent="0.25">
      <c r="A54" s="3">
        <v>14</v>
      </c>
      <c r="D54" s="3">
        <v>5</v>
      </c>
    </row>
    <row r="55" spans="1:4" x14ac:dyDescent="0.25">
      <c r="A55" s="3">
        <v>10</v>
      </c>
      <c r="D55" s="3">
        <v>7</v>
      </c>
    </row>
    <row r="56" spans="1:4" x14ac:dyDescent="0.25">
      <c r="A56" s="3">
        <v>12</v>
      </c>
      <c r="D56" s="3">
        <v>7</v>
      </c>
    </row>
    <row r="57" spans="1:4" x14ac:dyDescent="0.25">
      <c r="A57" s="3">
        <v>11</v>
      </c>
      <c r="D57" s="3">
        <v>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72DF4-9793-4698-BB68-4607515D5F7F}">
  <sheetPr codeName="Hoja8"/>
  <dimension ref="A3:N34"/>
  <sheetViews>
    <sheetView workbookViewId="0">
      <selection activeCell="R22" sqref="R22"/>
    </sheetView>
  </sheetViews>
  <sheetFormatPr baseColWidth="10" defaultRowHeight="15" x14ac:dyDescent="0.25"/>
  <cols>
    <col min="1" max="2" width="22.42578125" bestFit="1" customWidth="1"/>
    <col min="3" max="3" width="12.5703125" bestFit="1" customWidth="1"/>
    <col min="4" max="4" width="4" bestFit="1" customWidth="1"/>
    <col min="5" max="5" width="3" bestFit="1" customWidth="1"/>
    <col min="6" max="6" width="4" bestFit="1" customWidth="1"/>
    <col min="7" max="7" width="8.42578125" bestFit="1" customWidth="1"/>
    <col min="8" max="8" width="4.42578125" bestFit="1" customWidth="1"/>
    <col min="9" max="9" width="3" bestFit="1" customWidth="1"/>
    <col min="10" max="12" width="4" bestFit="1" customWidth="1"/>
    <col min="13" max="13" width="7.42578125" bestFit="1" customWidth="1"/>
    <col min="14" max="14" width="12.5703125" bestFit="1" customWidth="1"/>
    <col min="15" max="15" width="3" bestFit="1" customWidth="1"/>
    <col min="16" max="16" width="13.42578125" bestFit="1" customWidth="1"/>
    <col min="17" max="17" width="12.5703125" bestFit="1" customWidth="1"/>
  </cols>
  <sheetData>
    <row r="3" spans="1:14" x14ac:dyDescent="0.25">
      <c r="A3" s="31" t="s">
        <v>1380</v>
      </c>
      <c r="B3" s="31" t="s">
        <v>1382</v>
      </c>
    </row>
    <row r="4" spans="1:14" x14ac:dyDescent="0.25">
      <c r="B4" t="s">
        <v>25</v>
      </c>
      <c r="G4" t="s">
        <v>1399</v>
      </c>
      <c r="H4" t="s">
        <v>23</v>
      </c>
      <c r="M4" t="s">
        <v>1400</v>
      </c>
      <c r="N4" t="s">
        <v>1349</v>
      </c>
    </row>
    <row r="5" spans="1:14" x14ac:dyDescent="0.25">
      <c r="A5" s="31" t="s">
        <v>1348</v>
      </c>
      <c r="B5">
        <v>1</v>
      </c>
      <c r="C5">
        <v>2</v>
      </c>
      <c r="D5">
        <v>3</v>
      </c>
      <c r="E5">
        <v>4</v>
      </c>
      <c r="F5">
        <v>5</v>
      </c>
      <c r="H5">
        <v>1</v>
      </c>
      <c r="I5">
        <v>2</v>
      </c>
      <c r="J5">
        <v>3</v>
      </c>
      <c r="K5">
        <v>4</v>
      </c>
      <c r="L5">
        <v>5</v>
      </c>
    </row>
    <row r="6" spans="1:14" x14ac:dyDescent="0.25">
      <c r="A6" s="32" t="s">
        <v>71</v>
      </c>
      <c r="B6" s="3">
        <v>7</v>
      </c>
      <c r="C6" s="3">
        <v>6</v>
      </c>
      <c r="D6" s="3">
        <v>4</v>
      </c>
      <c r="E6" s="3">
        <v>6</v>
      </c>
      <c r="F6" s="3">
        <v>4</v>
      </c>
      <c r="G6" s="3">
        <v>27</v>
      </c>
      <c r="H6" s="3">
        <v>1</v>
      </c>
      <c r="I6" s="3">
        <v>7</v>
      </c>
      <c r="J6" s="3">
        <v>6</v>
      </c>
      <c r="K6" s="3">
        <v>4</v>
      </c>
      <c r="L6" s="3">
        <v>4</v>
      </c>
      <c r="M6" s="3">
        <v>22</v>
      </c>
      <c r="N6" s="3">
        <v>49</v>
      </c>
    </row>
    <row r="7" spans="1:14" x14ac:dyDescent="0.25">
      <c r="A7" s="32" t="s">
        <v>36</v>
      </c>
      <c r="B7" s="3">
        <v>3</v>
      </c>
      <c r="C7" s="3">
        <v>8</v>
      </c>
      <c r="D7" s="3">
        <v>6</v>
      </c>
      <c r="E7" s="3">
        <v>8</v>
      </c>
      <c r="F7" s="3">
        <v>7</v>
      </c>
      <c r="G7" s="3">
        <v>32</v>
      </c>
      <c r="H7" s="3">
        <v>7</v>
      </c>
      <c r="I7" s="3">
        <v>6</v>
      </c>
      <c r="J7" s="3">
        <v>4</v>
      </c>
      <c r="K7" s="3">
        <v>8</v>
      </c>
      <c r="L7" s="3">
        <v>5</v>
      </c>
      <c r="M7" s="3">
        <v>30</v>
      </c>
      <c r="N7" s="3">
        <v>62</v>
      </c>
    </row>
    <row r="8" spans="1:14" x14ac:dyDescent="0.25">
      <c r="A8" s="32" t="s">
        <v>1406</v>
      </c>
      <c r="B8" s="3">
        <v>78</v>
      </c>
      <c r="C8" s="3">
        <v>74</v>
      </c>
      <c r="D8" s="3">
        <v>81</v>
      </c>
      <c r="E8" s="3">
        <v>71</v>
      </c>
      <c r="F8" s="3">
        <v>82</v>
      </c>
      <c r="G8" s="3">
        <v>386</v>
      </c>
      <c r="H8" s="3">
        <v>78</v>
      </c>
      <c r="I8" s="3">
        <v>70</v>
      </c>
      <c r="J8" s="3">
        <v>79</v>
      </c>
      <c r="K8" s="3">
        <v>85</v>
      </c>
      <c r="L8" s="3">
        <v>84</v>
      </c>
      <c r="M8" s="3">
        <v>396</v>
      </c>
      <c r="N8" s="3">
        <v>782</v>
      </c>
    </row>
    <row r="9" spans="1:14" x14ac:dyDescent="0.25">
      <c r="A9" s="32" t="s">
        <v>83</v>
      </c>
      <c r="B9" s="3">
        <v>1</v>
      </c>
      <c r="C9" s="3">
        <v>4</v>
      </c>
      <c r="D9" s="3">
        <v>6</v>
      </c>
      <c r="E9" s="3">
        <v>2</v>
      </c>
      <c r="F9" s="3">
        <v>8</v>
      </c>
      <c r="G9" s="3">
        <v>21</v>
      </c>
      <c r="H9" s="3">
        <v>5</v>
      </c>
      <c r="I9" s="3">
        <v>6</v>
      </c>
      <c r="J9" s="3">
        <v>5</v>
      </c>
      <c r="K9" s="3">
        <v>7</v>
      </c>
      <c r="L9" s="3">
        <v>5</v>
      </c>
      <c r="M9" s="3">
        <v>28</v>
      </c>
      <c r="N9" s="3">
        <v>49</v>
      </c>
    </row>
    <row r="10" spans="1:14" x14ac:dyDescent="0.25">
      <c r="A10" s="32" t="s">
        <v>63</v>
      </c>
      <c r="B10" s="3">
        <v>9</v>
      </c>
      <c r="C10" s="3">
        <v>5</v>
      </c>
      <c r="D10" s="3">
        <v>5</v>
      </c>
      <c r="E10" s="3">
        <v>5</v>
      </c>
      <c r="F10" s="3">
        <v>5</v>
      </c>
      <c r="G10" s="3">
        <v>29</v>
      </c>
      <c r="H10" s="3">
        <v>2</v>
      </c>
      <c r="I10" s="3">
        <v>8</v>
      </c>
      <c r="J10" s="3">
        <v>7</v>
      </c>
      <c r="K10" s="3">
        <v>5</v>
      </c>
      <c r="L10" s="3">
        <v>7</v>
      </c>
      <c r="M10" s="3">
        <v>29</v>
      </c>
      <c r="N10" s="3">
        <v>58</v>
      </c>
    </row>
    <row r="11" spans="1:14" x14ac:dyDescent="0.25">
      <c r="A11" s="32" t="s">
        <v>1349</v>
      </c>
      <c r="B11" s="3">
        <v>98</v>
      </c>
      <c r="C11" s="3">
        <v>97</v>
      </c>
      <c r="D11" s="3">
        <v>102</v>
      </c>
      <c r="E11" s="3">
        <v>92</v>
      </c>
      <c r="F11" s="3">
        <v>106</v>
      </c>
      <c r="G11" s="3">
        <v>495</v>
      </c>
      <c r="H11" s="3">
        <v>93</v>
      </c>
      <c r="I11" s="3">
        <v>97</v>
      </c>
      <c r="J11" s="3">
        <v>101</v>
      </c>
      <c r="K11" s="3">
        <v>109</v>
      </c>
      <c r="L11" s="3">
        <v>105</v>
      </c>
      <c r="M11" s="3">
        <v>505</v>
      </c>
      <c r="N11" s="3">
        <v>1000</v>
      </c>
    </row>
    <row r="12" spans="1:14" x14ac:dyDescent="0.25">
      <c r="H12">
        <f>AVERAGE(H6:H7,H9)</f>
        <v>4.333333333333333</v>
      </c>
      <c r="I12">
        <f t="shared" ref="I12:L12" si="0">AVERAGE(I6:I7,I9)</f>
        <v>6.333333333333333</v>
      </c>
      <c r="J12">
        <f t="shared" si="0"/>
        <v>5</v>
      </c>
      <c r="K12">
        <f t="shared" si="0"/>
        <v>6.333333333333333</v>
      </c>
      <c r="L12">
        <f t="shared" si="0"/>
        <v>4.666666666666667</v>
      </c>
    </row>
    <row r="13" spans="1:14" x14ac:dyDescent="0.25">
      <c r="M13" s="3">
        <f>M6+M7+M9</f>
        <v>80</v>
      </c>
      <c r="N13" t="s">
        <v>1407</v>
      </c>
    </row>
    <row r="14" spans="1:14" x14ac:dyDescent="0.25">
      <c r="M14" s="37">
        <f>(M13*100/505)/100</f>
        <v>0.15841584158415842</v>
      </c>
      <c r="N14" t="s">
        <v>1408</v>
      </c>
    </row>
    <row r="16" spans="1:14" x14ac:dyDescent="0.25">
      <c r="A16" s="42"/>
      <c r="B16" s="42"/>
      <c r="C16" s="42"/>
      <c r="D16" s="42"/>
      <c r="E16" s="42"/>
    </row>
    <row r="17" spans="1:5" x14ac:dyDescent="0.25">
      <c r="A17" s="43"/>
      <c r="B17" s="43"/>
      <c r="C17" s="43"/>
      <c r="D17" s="43"/>
      <c r="E17" s="43"/>
    </row>
    <row r="18" spans="1:5" x14ac:dyDescent="0.25">
      <c r="A18" s="3"/>
      <c r="B18" s="3"/>
      <c r="C18" s="3"/>
      <c r="D18" s="3"/>
      <c r="E18" s="3"/>
    </row>
    <row r="19" spans="1:5" x14ac:dyDescent="0.25">
      <c r="A19" s="31" t="s">
        <v>1380</v>
      </c>
      <c r="B19" s="31" t="s">
        <v>1382</v>
      </c>
    </row>
    <row r="20" spans="1:5" x14ac:dyDescent="0.25">
      <c r="A20" s="31" t="s">
        <v>1348</v>
      </c>
      <c r="B20" t="s">
        <v>23</v>
      </c>
      <c r="C20" t="s">
        <v>1349</v>
      </c>
    </row>
    <row r="21" spans="1:5" x14ac:dyDescent="0.25">
      <c r="A21" s="32" t="s">
        <v>71</v>
      </c>
      <c r="B21" s="3">
        <v>22</v>
      </c>
      <c r="C21" s="3">
        <v>22</v>
      </c>
    </row>
    <row r="22" spans="1:5" x14ac:dyDescent="0.25">
      <c r="A22" s="32" t="s">
        <v>36</v>
      </c>
      <c r="B22" s="3">
        <v>30</v>
      </c>
      <c r="C22" s="3">
        <v>30</v>
      </c>
    </row>
    <row r="23" spans="1:5" x14ac:dyDescent="0.25">
      <c r="A23" s="32" t="s">
        <v>1381</v>
      </c>
      <c r="B23" s="3">
        <v>396</v>
      </c>
      <c r="C23" s="3">
        <v>396</v>
      </c>
    </row>
    <row r="24" spans="1:5" x14ac:dyDescent="0.25">
      <c r="A24" s="32" t="s">
        <v>83</v>
      </c>
      <c r="B24" s="3">
        <v>28</v>
      </c>
      <c r="C24" s="3">
        <v>28</v>
      </c>
    </row>
    <row r="25" spans="1:5" x14ac:dyDescent="0.25">
      <c r="A25" s="32" t="s">
        <v>63</v>
      </c>
      <c r="B25" s="3">
        <v>29</v>
      </c>
      <c r="C25" s="3">
        <v>29</v>
      </c>
    </row>
    <row r="26" spans="1:5" x14ac:dyDescent="0.25">
      <c r="A26" s="32" t="s">
        <v>1349</v>
      </c>
      <c r="B26" s="3">
        <v>505</v>
      </c>
      <c r="C26" s="3">
        <v>505</v>
      </c>
    </row>
    <row r="34" spans="6:6" x14ac:dyDescent="0.25">
      <c r="F34" s="38"/>
    </row>
  </sheetData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59E00-5B72-4263-90EF-CA586A9F1A9D}">
  <sheetPr codeName="Hoja10"/>
  <dimension ref="A1:A11"/>
  <sheetViews>
    <sheetView workbookViewId="0">
      <selection sqref="A1:A11"/>
    </sheetView>
  </sheetViews>
  <sheetFormatPr baseColWidth="10" defaultRowHeight="15" x14ac:dyDescent="0.25"/>
  <sheetData>
    <row r="1" spans="1:1" x14ac:dyDescent="0.25">
      <c r="A1" s="11"/>
    </row>
    <row r="2" spans="1:1" x14ac:dyDescent="0.25">
      <c r="A2" s="12"/>
    </row>
    <row r="3" spans="1:1" x14ac:dyDescent="0.25">
      <c r="A3" s="13"/>
    </row>
    <row r="4" spans="1:1" x14ac:dyDescent="0.25">
      <c r="A4" s="14"/>
    </row>
    <row r="5" spans="1:1" x14ac:dyDescent="0.25">
      <c r="A5" s="19"/>
    </row>
    <row r="6" spans="1:1" x14ac:dyDescent="0.25">
      <c r="A6" s="16"/>
    </row>
    <row r="7" spans="1:1" x14ac:dyDescent="0.25">
      <c r="A7" s="17"/>
    </row>
    <row r="8" spans="1:1" x14ac:dyDescent="0.25">
      <c r="A8" s="18"/>
    </row>
    <row r="9" spans="1:1" x14ac:dyDescent="0.25">
      <c r="A9" s="20"/>
    </row>
    <row r="10" spans="1:1" x14ac:dyDescent="0.25">
      <c r="A10" s="15"/>
    </row>
    <row r="11" spans="1:1" x14ac:dyDescent="0.25">
      <c r="A11" s="2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82EBB-4907-4B2B-8D65-41621F03078E}">
  <sheetPr codeName="Hoja11"/>
  <dimension ref="A1:D13"/>
  <sheetViews>
    <sheetView workbookViewId="0">
      <selection activeCell="D22" sqref="D22"/>
    </sheetView>
  </sheetViews>
  <sheetFormatPr baseColWidth="10" defaultRowHeight="15" x14ac:dyDescent="0.25"/>
  <cols>
    <col min="1" max="1" width="17" bestFit="1" customWidth="1"/>
    <col min="2" max="2" width="10.7109375" bestFit="1" customWidth="1"/>
    <col min="3" max="3" width="12.7109375" bestFit="1" customWidth="1"/>
    <col min="4" max="4" width="35.140625" bestFit="1" customWidth="1"/>
  </cols>
  <sheetData>
    <row r="1" spans="1:4" x14ac:dyDescent="0.25">
      <c r="A1" s="23" t="s">
        <v>1330</v>
      </c>
      <c r="B1" s="24" t="s">
        <v>1346</v>
      </c>
      <c r="C1" s="23" t="s">
        <v>1345</v>
      </c>
      <c r="D1" s="24" t="s">
        <v>1344</v>
      </c>
    </row>
    <row r="2" spans="1:4" x14ac:dyDescent="0.25">
      <c r="A2" s="23" t="s">
        <v>40</v>
      </c>
      <c r="B2" s="25">
        <v>-31.334500143441002</v>
      </c>
      <c r="C2" s="26">
        <v>-64.246077326056394</v>
      </c>
      <c r="D2" s="8" t="str">
        <f>CONCATENATE(Tabla5[[#This Row],[LATITUD]],", ",Tabla5[[#This Row],[LONGITUD]])</f>
        <v>-31,334500143441, -64,2460773260564</v>
      </c>
    </row>
    <row r="3" spans="1:4" x14ac:dyDescent="0.25">
      <c r="A3" s="23" t="s">
        <v>32</v>
      </c>
      <c r="B3" s="25">
        <v>-31.4148488101991</v>
      </c>
      <c r="C3" s="26">
        <v>-64.179340648943807</v>
      </c>
      <c r="D3" s="26" t="str">
        <f>CONCATENATE(Tabla5[[#This Row],[LATITUD]],", ",Tabla5[[#This Row],[LONGITUD]])</f>
        <v>-31,4148488101991, -64,1793406489438</v>
      </c>
    </row>
    <row r="4" spans="1:4" x14ac:dyDescent="0.25">
      <c r="A4" s="23" t="s">
        <v>20</v>
      </c>
      <c r="B4" s="25">
        <v>-31.4800162965848</v>
      </c>
      <c r="C4" s="27">
        <v>-64.209420097689204</v>
      </c>
      <c r="D4" s="30" t="str">
        <f>CONCATENATE(Tabla5[[#This Row],[LATITUD]],", ",Tabla5[[#This Row],[LONGITUD]])</f>
        <v>-31,4800162965848, -64,2094200976892</v>
      </c>
    </row>
    <row r="5" spans="1:4" x14ac:dyDescent="0.25">
      <c r="A5" s="23" t="s">
        <v>49</v>
      </c>
      <c r="B5" s="28">
        <v>-31.4506257494184</v>
      </c>
      <c r="C5" s="27">
        <v>-64.173305434470507</v>
      </c>
      <c r="D5" s="30" t="str">
        <f>CONCATENATE(Tabla5[[#This Row],[LATITUD]],", ",Tabla5[[#This Row],[LONGITUD]])</f>
        <v>-31,4506257494184, -64,1733054344705</v>
      </c>
    </row>
    <row r="6" spans="1:4" x14ac:dyDescent="0.25">
      <c r="A6" s="23" t="s">
        <v>52</v>
      </c>
      <c r="B6" s="25">
        <v>-31.347790289652298</v>
      </c>
      <c r="C6" s="27">
        <v>-64.264440616929704</v>
      </c>
      <c r="D6" s="30" t="str">
        <f>CONCATENATE(Tabla5[[#This Row],[LATITUD]],", ",Tabla5[[#This Row],[LONGITUD]])</f>
        <v>-31,3477902896523, -64,2644406169297</v>
      </c>
    </row>
    <row r="7" spans="1:4" x14ac:dyDescent="0.25">
      <c r="A7" s="23" t="s">
        <v>55</v>
      </c>
      <c r="B7" s="25">
        <v>-31.4015892433235</v>
      </c>
      <c r="C7" s="27">
        <v>-64.160442876477006</v>
      </c>
      <c r="D7" s="30" t="str">
        <f>CONCATENATE(Tabla5[[#This Row],[LATITUD]],", ",Tabla5[[#This Row],[LONGITUD]])</f>
        <v>-31,4015892433235, -64,160442876477</v>
      </c>
    </row>
    <row r="8" spans="1:4" x14ac:dyDescent="0.25">
      <c r="A8" s="23" t="s">
        <v>58</v>
      </c>
      <c r="B8" s="25">
        <v>-31.423018915313001</v>
      </c>
      <c r="C8" s="27">
        <v>-64.149356219066405</v>
      </c>
      <c r="D8" s="30" t="str">
        <f>CONCATENATE(Tabla5[[#This Row],[LATITUD]],", ",Tabla5[[#This Row],[LONGITUD]])</f>
        <v>-31,423018915313, -64,1493562190664</v>
      </c>
    </row>
    <row r="9" spans="1:4" x14ac:dyDescent="0.25">
      <c r="A9" s="23" t="s">
        <v>70</v>
      </c>
      <c r="B9" s="25">
        <v>-31.375927289029399</v>
      </c>
      <c r="C9" s="27">
        <v>-64.228458779247802</v>
      </c>
      <c r="D9" s="30" t="str">
        <f>CONCATENATE(Tabla5[[#This Row],[LATITUD]],", ",Tabla5[[#This Row],[LONGITUD]])</f>
        <v>-31,3759272890294, -64,2284587792478</v>
      </c>
    </row>
    <row r="10" spans="1:4" x14ac:dyDescent="0.25">
      <c r="A10" s="23" t="s">
        <v>60</v>
      </c>
      <c r="B10" s="25">
        <v>-31.407639719640901</v>
      </c>
      <c r="C10" s="27">
        <v>-64.202017043067798</v>
      </c>
      <c r="D10" s="30" t="str">
        <f>CONCATENATE(Tabla5[[#This Row],[LATITUD]],", ",Tabla5[[#This Row],[LONGITUD]])</f>
        <v>-31,4076397196409, -64,2020170430678</v>
      </c>
    </row>
    <row r="11" spans="1:4" x14ac:dyDescent="0.25">
      <c r="A11" s="23" t="s">
        <v>65</v>
      </c>
      <c r="B11" s="25">
        <v>-31.4285567311661</v>
      </c>
      <c r="C11" s="27">
        <v>-64.185319828100702</v>
      </c>
      <c r="D11" s="30" t="str">
        <f>CONCATENATE(Tabla5[[#This Row],[LATITUD]],", ",Tabla5[[#This Row],[LONGITUD]])</f>
        <v>-31,4285567311661, -64,1853198281007</v>
      </c>
    </row>
    <row r="12" spans="1:4" x14ac:dyDescent="0.25">
      <c r="A12" s="23" t="s">
        <v>62</v>
      </c>
      <c r="B12" s="25">
        <v>-31.390952093782602</v>
      </c>
      <c r="C12" s="27">
        <v>-64.183642449171501</v>
      </c>
      <c r="D12" s="30" t="str">
        <f>CONCATENATE(Tabla5[[#This Row],[LATITUD]],", ",Tabla5[[#This Row],[LONGITUD]])</f>
        <v>-31,3909520937826, -64,1836424491715</v>
      </c>
    </row>
    <row r="13" spans="1:4" x14ac:dyDescent="0.25">
      <c r="A13" s="23" t="s">
        <v>28</v>
      </c>
      <c r="B13" s="25">
        <v>-31.412988364033701</v>
      </c>
      <c r="C13" s="27">
        <v>-64.168112052258707</v>
      </c>
      <c r="D13" s="30" t="str">
        <f>CONCATENATE(Tabla5[[#This Row],[LATITUD]],", ",Tabla5[[#This Row],[LONGITUD]])</f>
        <v>-31,4129883640337, -64,1681120522587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CD8E9-F800-4067-8808-30AF00BF02BE}">
  <sheetPr codeName="Hoja12"/>
  <dimension ref="A3:D12"/>
  <sheetViews>
    <sheetView workbookViewId="0">
      <selection activeCell="T10" sqref="T10"/>
    </sheetView>
  </sheetViews>
  <sheetFormatPr baseColWidth="10" defaultRowHeight="15" x14ac:dyDescent="0.25"/>
  <cols>
    <col min="1" max="1" width="29" bestFit="1" customWidth="1"/>
    <col min="2" max="2" width="10" bestFit="1" customWidth="1"/>
    <col min="3" max="3" width="10.140625" bestFit="1" customWidth="1"/>
    <col min="4" max="5" width="12.5703125" bestFit="1" customWidth="1"/>
  </cols>
  <sheetData>
    <row r="3" spans="1:4" x14ac:dyDescent="0.25">
      <c r="A3" s="31" t="s">
        <v>1378</v>
      </c>
      <c r="B3" s="31" t="s">
        <v>1375</v>
      </c>
    </row>
    <row r="4" spans="1:4" x14ac:dyDescent="0.25">
      <c r="A4" s="31" t="s">
        <v>1348</v>
      </c>
      <c r="B4" t="s">
        <v>21</v>
      </c>
      <c r="C4" t="s">
        <v>22</v>
      </c>
      <c r="D4" t="s">
        <v>1349</v>
      </c>
    </row>
    <row r="5" spans="1:4" x14ac:dyDescent="0.25">
      <c r="A5" s="32" t="s">
        <v>1342</v>
      </c>
      <c r="B5" s="3">
        <v>45</v>
      </c>
      <c r="C5" s="3">
        <v>38</v>
      </c>
      <c r="D5" s="3">
        <v>83</v>
      </c>
    </row>
    <row r="6" spans="1:4" x14ac:dyDescent="0.25">
      <c r="A6" s="32" t="s">
        <v>1335</v>
      </c>
      <c r="B6" s="3">
        <v>69</v>
      </c>
      <c r="C6" s="3">
        <v>72</v>
      </c>
      <c r="D6" s="3">
        <v>141</v>
      </c>
    </row>
    <row r="7" spans="1:4" x14ac:dyDescent="0.25">
      <c r="A7" s="32" t="s">
        <v>1336</v>
      </c>
      <c r="B7" s="3">
        <v>94</v>
      </c>
      <c r="C7" s="3">
        <v>86</v>
      </c>
      <c r="D7" s="3">
        <v>180</v>
      </c>
    </row>
    <row r="8" spans="1:4" x14ac:dyDescent="0.25">
      <c r="A8" s="32" t="s">
        <v>1337</v>
      </c>
      <c r="B8" s="3">
        <v>78</v>
      </c>
      <c r="C8" s="3">
        <v>97</v>
      </c>
      <c r="D8" s="3">
        <v>175</v>
      </c>
    </row>
    <row r="9" spans="1:4" x14ac:dyDescent="0.25">
      <c r="A9" s="32" t="s">
        <v>1338</v>
      </c>
      <c r="B9" s="3">
        <v>86</v>
      </c>
      <c r="C9" s="3">
        <v>84</v>
      </c>
      <c r="D9" s="3">
        <v>170</v>
      </c>
    </row>
    <row r="10" spans="1:4" x14ac:dyDescent="0.25">
      <c r="A10" s="32" t="s">
        <v>1339</v>
      </c>
      <c r="B10" s="3">
        <v>78</v>
      </c>
      <c r="C10" s="3">
        <v>84</v>
      </c>
      <c r="D10" s="3">
        <v>162</v>
      </c>
    </row>
    <row r="11" spans="1:4" x14ac:dyDescent="0.25">
      <c r="A11" s="32" t="s">
        <v>1340</v>
      </c>
      <c r="B11" s="3">
        <v>42</v>
      </c>
      <c r="C11" s="3">
        <v>47</v>
      </c>
      <c r="D11" s="3">
        <v>89</v>
      </c>
    </row>
    <row r="12" spans="1:4" x14ac:dyDescent="0.25">
      <c r="A12" s="32" t="s">
        <v>1349</v>
      </c>
      <c r="B12" s="3">
        <v>492</v>
      </c>
      <c r="C12" s="3">
        <v>508</v>
      </c>
      <c r="D12" s="3">
        <v>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7014-B34B-4A52-A850-AE0A268DE18D}">
  <sheetPr codeName="Hoja13"/>
  <dimension ref="A3:D12"/>
  <sheetViews>
    <sheetView workbookViewId="0">
      <selection activeCell="A3" activeCellId="1" sqref="A1:B1 A3:D12"/>
    </sheetView>
  </sheetViews>
  <sheetFormatPr baseColWidth="10" defaultRowHeight="15" x14ac:dyDescent="0.25"/>
  <cols>
    <col min="1" max="1" width="28.85546875" bestFit="1" customWidth="1"/>
    <col min="2" max="2" width="10" bestFit="1" customWidth="1"/>
    <col min="3" max="3" width="10.140625" bestFit="1" customWidth="1"/>
    <col min="4" max="5" width="12.5703125" bestFit="1" customWidth="1"/>
    <col min="6" max="6" width="4.7109375" bestFit="1" customWidth="1"/>
    <col min="7" max="8" width="4" bestFit="1" customWidth="1"/>
    <col min="9" max="10" width="4.140625" bestFit="1" customWidth="1"/>
    <col min="11" max="11" width="4" bestFit="1" customWidth="1"/>
    <col min="12" max="12" width="4.28515625" bestFit="1" customWidth="1"/>
    <col min="13" max="13" width="4" bestFit="1" customWidth="1"/>
    <col min="14" max="14" width="14.85546875" bestFit="1" customWidth="1"/>
    <col min="15" max="15" width="12" bestFit="1" customWidth="1"/>
    <col min="16" max="16" width="4" bestFit="1" customWidth="1"/>
    <col min="17" max="17" width="4.42578125" bestFit="1" customWidth="1"/>
    <col min="18" max="18" width="4" bestFit="1" customWidth="1"/>
    <col min="19" max="19" width="4.7109375" bestFit="1" customWidth="1"/>
    <col min="20" max="21" width="4" bestFit="1" customWidth="1"/>
    <col min="22" max="23" width="4.140625" bestFit="1" customWidth="1"/>
    <col min="24" max="24" width="4" bestFit="1" customWidth="1"/>
    <col min="25" max="25" width="4.28515625" bestFit="1" customWidth="1"/>
    <col min="26" max="26" width="4" bestFit="1" customWidth="1"/>
    <col min="27" max="27" width="15" bestFit="1" customWidth="1"/>
    <col min="28" max="28" width="12.5703125" bestFit="1" customWidth="1"/>
    <col min="29" max="29" width="8.7109375" bestFit="1" customWidth="1"/>
    <col min="30" max="35" width="9.7109375" bestFit="1" customWidth="1"/>
    <col min="36" max="37" width="8.7109375" bestFit="1" customWidth="1"/>
    <col min="38" max="44" width="9.7109375" bestFit="1" customWidth="1"/>
    <col min="45" max="47" width="8.7109375" bestFit="1" customWidth="1"/>
    <col min="48" max="52" width="9.7109375" bestFit="1" customWidth="1"/>
    <col min="53" max="54" width="8.7109375" bestFit="1" customWidth="1"/>
    <col min="55" max="59" width="9.7109375" bestFit="1" customWidth="1"/>
    <col min="60" max="60" width="8.7109375" bestFit="1" customWidth="1"/>
    <col min="61" max="70" width="9.7109375" bestFit="1" customWidth="1"/>
    <col min="71" max="74" width="8.7109375" bestFit="1" customWidth="1"/>
    <col min="75" max="81" width="9.7109375" bestFit="1" customWidth="1"/>
    <col min="82" max="83" width="8.7109375" bestFit="1" customWidth="1"/>
    <col min="84" max="88" width="9.7109375" bestFit="1" customWidth="1"/>
    <col min="89" max="92" width="8.7109375" bestFit="1" customWidth="1"/>
    <col min="93" max="96" width="9.7109375" bestFit="1" customWidth="1"/>
    <col min="97" max="97" width="8.7109375" bestFit="1" customWidth="1"/>
    <col min="98" max="101" width="9.7109375" bestFit="1" customWidth="1"/>
    <col min="102" max="105" width="8.7109375" bestFit="1" customWidth="1"/>
    <col min="106" max="108" width="9.7109375" bestFit="1" customWidth="1"/>
    <col min="109" max="110" width="8.7109375" bestFit="1" customWidth="1"/>
    <col min="111" max="114" width="9.7109375" bestFit="1" customWidth="1"/>
    <col min="115" max="116" width="8.7109375" bestFit="1" customWidth="1"/>
    <col min="117" max="121" width="9.7109375" bestFit="1" customWidth="1"/>
    <col min="122" max="123" width="8.7109375" bestFit="1" customWidth="1"/>
    <col min="124" max="127" width="9.7109375" bestFit="1" customWidth="1"/>
    <col min="128" max="129" width="8.7109375" bestFit="1" customWidth="1"/>
    <col min="130" max="135" width="9.7109375" bestFit="1" customWidth="1"/>
    <col min="136" max="138" width="8.7109375" bestFit="1" customWidth="1"/>
    <col min="139" max="142" width="9.7109375" bestFit="1" customWidth="1"/>
    <col min="143" max="143" width="8.7109375" bestFit="1" customWidth="1"/>
    <col min="144" max="144" width="9.7109375" bestFit="1" customWidth="1"/>
    <col min="145" max="145" width="8.7109375" bestFit="1" customWidth="1"/>
    <col min="146" max="148" width="9.7109375" bestFit="1" customWidth="1"/>
    <col min="149" max="150" width="8.7109375" bestFit="1" customWidth="1"/>
    <col min="151" max="155" width="9.7109375" bestFit="1" customWidth="1"/>
    <col min="156" max="158" width="8.7109375" bestFit="1" customWidth="1"/>
    <col min="159" max="161" width="9.7109375" bestFit="1" customWidth="1"/>
    <col min="162" max="163" width="8.7109375" bestFit="1" customWidth="1"/>
    <col min="164" max="166" width="9.7109375" bestFit="1" customWidth="1"/>
    <col min="167" max="168" width="8.7109375" bestFit="1" customWidth="1"/>
    <col min="169" max="174" width="9.7109375" bestFit="1" customWidth="1"/>
    <col min="175" max="176" width="8.7109375" bestFit="1" customWidth="1"/>
    <col min="177" max="180" width="9.7109375" bestFit="1" customWidth="1"/>
    <col min="181" max="181" width="8.7109375" bestFit="1" customWidth="1"/>
    <col min="182" max="185" width="9.7109375" bestFit="1" customWidth="1"/>
    <col min="186" max="187" width="8.7109375" bestFit="1" customWidth="1"/>
    <col min="188" max="192" width="9.7109375" bestFit="1" customWidth="1"/>
    <col min="193" max="194" width="8.7109375" bestFit="1" customWidth="1"/>
    <col min="195" max="200" width="9.7109375" bestFit="1" customWidth="1"/>
    <col min="201" max="204" width="8.7109375" bestFit="1" customWidth="1"/>
    <col min="205" max="209" width="9.7109375" bestFit="1" customWidth="1"/>
    <col min="210" max="211" width="8.7109375" bestFit="1" customWidth="1"/>
    <col min="212" max="216" width="9.7109375" bestFit="1" customWidth="1"/>
    <col min="217" max="219" width="8.7109375" bestFit="1" customWidth="1"/>
    <col min="220" max="224" width="9.7109375" bestFit="1" customWidth="1"/>
    <col min="225" max="226" width="8.7109375" bestFit="1" customWidth="1"/>
    <col min="227" max="234" width="9.7109375" bestFit="1" customWidth="1"/>
    <col min="235" max="235" width="8.7109375" bestFit="1" customWidth="1"/>
    <col min="236" max="237" width="9.7109375" bestFit="1" customWidth="1"/>
    <col min="238" max="241" width="8.7109375" bestFit="1" customWidth="1"/>
    <col min="242" max="248" width="9.7109375" bestFit="1" customWidth="1"/>
    <col min="249" max="249" width="8.7109375" bestFit="1" customWidth="1"/>
    <col min="250" max="251" width="9.7109375" bestFit="1" customWidth="1"/>
    <col min="252" max="252" width="8.7109375" bestFit="1" customWidth="1"/>
    <col min="253" max="257" width="9.7109375" bestFit="1" customWidth="1"/>
    <col min="258" max="258" width="8.7109375" bestFit="1" customWidth="1"/>
    <col min="259" max="263" width="9.7109375" bestFit="1" customWidth="1"/>
    <col min="264" max="265" width="8.7109375" bestFit="1" customWidth="1"/>
    <col min="266" max="268" width="9.7109375" bestFit="1" customWidth="1"/>
    <col min="269" max="272" width="8.7109375" bestFit="1" customWidth="1"/>
    <col min="273" max="279" width="9.7109375" bestFit="1" customWidth="1"/>
    <col min="280" max="281" width="8.7109375" bestFit="1" customWidth="1"/>
    <col min="282" max="288" width="9.7109375" bestFit="1" customWidth="1"/>
    <col min="289" max="291" width="8.7109375" bestFit="1" customWidth="1"/>
    <col min="292" max="298" width="9.7109375" bestFit="1" customWidth="1"/>
    <col min="299" max="300" width="8.7109375" bestFit="1" customWidth="1"/>
    <col min="301" max="306" width="9.7109375" bestFit="1" customWidth="1"/>
    <col min="307" max="307" width="8.7109375" bestFit="1" customWidth="1"/>
    <col min="308" max="314" width="9.7109375" bestFit="1" customWidth="1"/>
    <col min="315" max="319" width="8.7109375" bestFit="1" customWidth="1"/>
    <col min="320" max="325" width="9.7109375" bestFit="1" customWidth="1"/>
    <col min="326" max="328" width="8.7109375" bestFit="1" customWidth="1"/>
    <col min="329" max="336" width="9.7109375" bestFit="1" customWidth="1"/>
    <col min="337" max="337" width="8.7109375" bestFit="1" customWidth="1"/>
    <col min="338" max="344" width="9.7109375" bestFit="1" customWidth="1"/>
    <col min="345" max="347" width="8.7109375" bestFit="1" customWidth="1"/>
    <col min="348" max="350" width="9.7109375" bestFit="1" customWidth="1"/>
    <col min="351" max="351" width="8.7109375" bestFit="1" customWidth="1"/>
    <col min="352" max="359" width="9.7109375" bestFit="1" customWidth="1"/>
    <col min="360" max="362" width="8.7109375" bestFit="1" customWidth="1"/>
    <col min="363" max="369" width="9.7109375" bestFit="1" customWidth="1"/>
    <col min="370" max="372" width="8.7109375" bestFit="1" customWidth="1"/>
    <col min="373" max="376" width="9.7109375" bestFit="1" customWidth="1"/>
    <col min="377" max="382" width="8.7109375" bestFit="1" customWidth="1"/>
    <col min="383" max="386" width="9.7109375" bestFit="1" customWidth="1"/>
    <col min="387" max="387" width="8.7109375" bestFit="1" customWidth="1"/>
    <col min="388" max="397" width="9.7109375" bestFit="1" customWidth="1"/>
    <col min="398" max="399" width="8.7109375" bestFit="1" customWidth="1"/>
    <col min="400" max="405" width="9.7109375" bestFit="1" customWidth="1"/>
    <col min="406" max="409" width="8.7109375" bestFit="1" customWidth="1"/>
    <col min="410" max="413" width="9.7109375" bestFit="1" customWidth="1"/>
    <col min="414" max="417" width="8.7109375" bestFit="1" customWidth="1"/>
    <col min="418" max="423" width="9.7109375" bestFit="1" customWidth="1"/>
    <col min="424" max="425" width="8.7109375" bestFit="1" customWidth="1"/>
    <col min="426" max="436" width="9.7109375" bestFit="1" customWidth="1"/>
    <col min="437" max="438" width="8.7109375" bestFit="1" customWidth="1"/>
    <col min="439" max="444" width="9.7109375" bestFit="1" customWidth="1"/>
    <col min="445" max="445" width="8.7109375" bestFit="1" customWidth="1"/>
    <col min="446" max="451" width="9.7109375" bestFit="1" customWidth="1"/>
    <col min="452" max="452" width="8.7109375" bestFit="1" customWidth="1"/>
    <col min="453" max="458" width="9.7109375" bestFit="1" customWidth="1"/>
    <col min="459" max="459" width="8.7109375" bestFit="1" customWidth="1"/>
    <col min="460" max="461" width="9.7109375" bestFit="1" customWidth="1"/>
    <col min="462" max="463" width="8.7109375" bestFit="1" customWidth="1"/>
    <col min="464" max="468" width="9.7109375" bestFit="1" customWidth="1"/>
    <col min="469" max="472" width="8.7109375" bestFit="1" customWidth="1"/>
    <col min="473" max="477" width="9.7109375" bestFit="1" customWidth="1"/>
    <col min="478" max="480" width="8.7109375" bestFit="1" customWidth="1"/>
    <col min="481" max="484" width="9.7109375" bestFit="1" customWidth="1"/>
    <col min="485" max="485" width="8.7109375" bestFit="1" customWidth="1"/>
    <col min="486" max="494" width="9.7109375" bestFit="1" customWidth="1"/>
    <col min="495" max="497" width="8.7109375" bestFit="1" customWidth="1"/>
    <col min="498" max="503" width="9.7109375" bestFit="1" customWidth="1"/>
    <col min="504" max="505" width="8.7109375" bestFit="1" customWidth="1"/>
    <col min="506" max="514" width="9.7109375" bestFit="1" customWidth="1"/>
    <col min="515" max="515" width="8.7109375" bestFit="1" customWidth="1"/>
    <col min="516" max="518" width="9.7109375" bestFit="1" customWidth="1"/>
    <col min="519" max="519" width="8.7109375" bestFit="1" customWidth="1"/>
    <col min="520" max="523" width="9.7109375" bestFit="1" customWidth="1"/>
    <col min="524" max="526" width="8.7109375" bestFit="1" customWidth="1"/>
    <col min="527" max="531" width="9.7109375" bestFit="1" customWidth="1"/>
    <col min="532" max="536" width="8.7109375" bestFit="1" customWidth="1"/>
    <col min="537" max="544" width="9.7109375" bestFit="1" customWidth="1"/>
    <col min="545" max="546" width="8.7109375" bestFit="1" customWidth="1"/>
    <col min="547" max="551" width="9.7109375" bestFit="1" customWidth="1"/>
    <col min="552" max="555" width="8.7109375" bestFit="1" customWidth="1"/>
    <col min="556" max="563" width="9.7109375" bestFit="1" customWidth="1"/>
    <col min="564" max="566" width="8.7109375" bestFit="1" customWidth="1"/>
    <col min="567" max="573" width="9.7109375" bestFit="1" customWidth="1"/>
    <col min="574" max="575" width="8.7109375" bestFit="1" customWidth="1"/>
    <col min="576" max="584" width="9.7109375" bestFit="1" customWidth="1"/>
    <col min="585" max="590" width="8.7109375" bestFit="1" customWidth="1"/>
    <col min="591" max="596" width="9.7109375" bestFit="1" customWidth="1"/>
    <col min="597" max="599" width="8.7109375" bestFit="1" customWidth="1"/>
    <col min="600" max="604" width="9.7109375" bestFit="1" customWidth="1"/>
    <col min="605" max="607" width="8.7109375" bestFit="1" customWidth="1"/>
    <col min="608" max="613" width="9.7109375" bestFit="1" customWidth="1"/>
    <col min="614" max="615" width="8.7109375" bestFit="1" customWidth="1"/>
    <col min="616" max="619" width="9.7109375" bestFit="1" customWidth="1"/>
    <col min="620" max="623" width="8.7109375" bestFit="1" customWidth="1"/>
    <col min="624" max="631" width="9.7109375" bestFit="1" customWidth="1"/>
    <col min="632" max="633" width="8.7109375" bestFit="1" customWidth="1"/>
    <col min="634" max="635" width="9.7109375" bestFit="1" customWidth="1"/>
    <col min="636" max="640" width="8.7109375" bestFit="1" customWidth="1"/>
    <col min="641" max="644" width="9.7109375" bestFit="1" customWidth="1"/>
    <col min="645" max="647" width="8.7109375" bestFit="1" customWidth="1"/>
    <col min="648" max="649" width="9.7109375" bestFit="1" customWidth="1"/>
    <col min="650" max="650" width="8.7109375" bestFit="1" customWidth="1"/>
    <col min="651" max="656" width="9.7109375" bestFit="1" customWidth="1"/>
    <col min="657" max="657" width="8.7109375" bestFit="1" customWidth="1"/>
    <col min="658" max="663" width="9.7109375" bestFit="1" customWidth="1"/>
    <col min="664" max="665" width="10.7109375" bestFit="1" customWidth="1"/>
    <col min="666" max="669" width="9.7109375" bestFit="1" customWidth="1"/>
    <col min="670" max="672" width="10.7109375" bestFit="1" customWidth="1"/>
    <col min="673" max="674" width="9.7109375" bestFit="1" customWidth="1"/>
    <col min="675" max="681" width="10.7109375" bestFit="1" customWidth="1"/>
    <col min="682" max="683" width="9.7109375" bestFit="1" customWidth="1"/>
    <col min="684" max="688" width="10.7109375" bestFit="1" customWidth="1"/>
    <col min="689" max="691" width="9.7109375" bestFit="1" customWidth="1"/>
    <col min="692" max="706" width="10.7109375" bestFit="1" customWidth="1"/>
    <col min="707" max="709" width="9.7109375" bestFit="1" customWidth="1"/>
    <col min="710" max="716" width="10.7109375" bestFit="1" customWidth="1"/>
    <col min="717" max="717" width="9.7109375" bestFit="1" customWidth="1"/>
    <col min="718" max="722" width="10.7109375" bestFit="1" customWidth="1"/>
    <col min="723" max="725" width="9.7109375" bestFit="1" customWidth="1"/>
    <col min="726" max="732" width="10.7109375" bestFit="1" customWidth="1"/>
    <col min="733" max="737" width="9.7109375" bestFit="1" customWidth="1"/>
    <col min="738" max="747" width="10.7109375" bestFit="1" customWidth="1"/>
    <col min="748" max="749" width="9.7109375" bestFit="1" customWidth="1"/>
    <col min="750" max="755" width="10.7109375" bestFit="1" customWidth="1"/>
    <col min="756" max="756" width="9.7109375" bestFit="1" customWidth="1"/>
    <col min="757" max="761" width="10.7109375" bestFit="1" customWidth="1"/>
    <col min="762" max="763" width="9.7109375" bestFit="1" customWidth="1"/>
    <col min="764" max="769" width="10.7109375" bestFit="1" customWidth="1"/>
    <col min="770" max="773" width="9.7109375" bestFit="1" customWidth="1"/>
    <col min="774" max="778" width="10.7109375" bestFit="1" customWidth="1"/>
    <col min="779" max="780" width="9.7109375" bestFit="1" customWidth="1"/>
    <col min="781" max="782" width="10.7109375" bestFit="1" customWidth="1"/>
    <col min="783" max="784" width="9.7109375" bestFit="1" customWidth="1"/>
    <col min="785" max="789" width="10.7109375" bestFit="1" customWidth="1"/>
    <col min="790" max="791" width="9.7109375" bestFit="1" customWidth="1"/>
    <col min="792" max="798" width="10.7109375" bestFit="1" customWidth="1"/>
    <col min="799" max="801" width="9.7109375" bestFit="1" customWidth="1"/>
    <col min="802" max="810" width="10.7109375" bestFit="1" customWidth="1"/>
    <col min="811" max="811" width="9.7109375" bestFit="1" customWidth="1"/>
    <col min="812" max="816" width="10.7109375" bestFit="1" customWidth="1"/>
    <col min="817" max="819" width="9.7109375" bestFit="1" customWidth="1"/>
    <col min="820" max="825" width="10.7109375" bestFit="1" customWidth="1"/>
    <col min="826" max="826" width="9.7109375" bestFit="1" customWidth="1"/>
    <col min="827" max="830" width="10.7109375" bestFit="1" customWidth="1"/>
    <col min="831" max="833" width="9.7109375" bestFit="1" customWidth="1"/>
    <col min="834" max="837" width="10.7109375" bestFit="1" customWidth="1"/>
    <col min="838" max="840" width="9.7109375" bestFit="1" customWidth="1"/>
    <col min="841" max="843" width="10.7109375" bestFit="1" customWidth="1"/>
    <col min="844" max="846" width="9.7109375" bestFit="1" customWidth="1"/>
    <col min="847" max="852" width="10.7109375" bestFit="1" customWidth="1"/>
    <col min="853" max="853" width="9.7109375" bestFit="1" customWidth="1"/>
    <col min="854" max="857" width="10.7109375" bestFit="1" customWidth="1"/>
    <col min="858" max="860" width="9.7109375" bestFit="1" customWidth="1"/>
    <col min="861" max="863" width="10.7109375" bestFit="1" customWidth="1"/>
    <col min="864" max="866" width="9.7109375" bestFit="1" customWidth="1"/>
    <col min="867" max="874" width="10.7109375" bestFit="1" customWidth="1"/>
    <col min="875" max="877" width="9.7109375" bestFit="1" customWidth="1"/>
    <col min="878" max="886" width="10.7109375" bestFit="1" customWidth="1"/>
    <col min="887" max="887" width="14.85546875" bestFit="1" customWidth="1"/>
    <col min="888" max="888" width="12" bestFit="1" customWidth="1"/>
    <col min="889" max="890" width="8.7109375" bestFit="1" customWidth="1"/>
    <col min="891" max="894" width="9.7109375" bestFit="1" customWidth="1"/>
    <col min="895" max="895" width="8.7109375" bestFit="1" customWidth="1"/>
    <col min="896" max="897" width="9.7109375" bestFit="1" customWidth="1"/>
    <col min="898" max="903" width="8.7109375" bestFit="1" customWidth="1"/>
    <col min="904" max="905" width="9.7109375" bestFit="1" customWidth="1"/>
    <col min="906" max="907" width="8.7109375" bestFit="1" customWidth="1"/>
    <col min="908" max="914" width="9.7109375" bestFit="1" customWidth="1"/>
    <col min="915" max="915" width="8.7109375" bestFit="1" customWidth="1"/>
    <col min="916" max="921" width="9.7109375" bestFit="1" customWidth="1"/>
    <col min="922" max="923" width="8.7109375" bestFit="1" customWidth="1"/>
    <col min="924" max="930" width="9.7109375" bestFit="1" customWidth="1"/>
    <col min="931" max="933" width="8.7109375" bestFit="1" customWidth="1"/>
    <col min="934" max="938" width="9.7109375" bestFit="1" customWidth="1"/>
    <col min="939" max="940" width="8.7109375" bestFit="1" customWidth="1"/>
    <col min="941" max="945" width="9.7109375" bestFit="1" customWidth="1"/>
    <col min="946" max="946" width="8.7109375" bestFit="1" customWidth="1"/>
    <col min="947" max="956" width="9.7109375" bestFit="1" customWidth="1"/>
    <col min="957" max="960" width="8.7109375" bestFit="1" customWidth="1"/>
    <col min="961" max="967" width="9.7109375" bestFit="1" customWidth="1"/>
    <col min="968" max="969" width="8.7109375" bestFit="1" customWidth="1"/>
    <col min="970" max="974" width="9.7109375" bestFit="1" customWidth="1"/>
    <col min="975" max="978" width="8.7109375" bestFit="1" customWidth="1"/>
    <col min="979" max="982" width="9.7109375" bestFit="1" customWidth="1"/>
    <col min="983" max="983" width="8.7109375" bestFit="1" customWidth="1"/>
    <col min="984" max="987" width="9.7109375" bestFit="1" customWidth="1"/>
    <col min="988" max="991" width="8.7109375" bestFit="1" customWidth="1"/>
    <col min="992" max="994" width="9.7109375" bestFit="1" customWidth="1"/>
    <col min="995" max="996" width="8.7109375" bestFit="1" customWidth="1"/>
    <col min="997" max="1000" width="9.7109375" bestFit="1" customWidth="1"/>
    <col min="1001" max="1002" width="8.7109375" bestFit="1" customWidth="1"/>
    <col min="1003" max="1007" width="9.7109375" bestFit="1" customWidth="1"/>
    <col min="1008" max="1009" width="8.7109375" bestFit="1" customWidth="1"/>
    <col min="1010" max="1013" width="9.7109375" bestFit="1" customWidth="1"/>
    <col min="1014" max="1015" width="8.7109375" bestFit="1" customWidth="1"/>
    <col min="1016" max="1021" width="9.7109375" bestFit="1" customWidth="1"/>
    <col min="1022" max="1024" width="8.7109375" bestFit="1" customWidth="1"/>
    <col min="1025" max="1028" width="9.7109375" bestFit="1" customWidth="1"/>
    <col min="1029" max="1029" width="8.7109375" bestFit="1" customWidth="1"/>
    <col min="1030" max="1030" width="9.7109375" bestFit="1" customWidth="1"/>
    <col min="1031" max="1031" width="8.7109375" bestFit="1" customWidth="1"/>
    <col min="1032" max="1034" width="9.7109375" bestFit="1" customWidth="1"/>
    <col min="1035" max="1036" width="8.7109375" bestFit="1" customWidth="1"/>
    <col min="1037" max="1041" width="9.7109375" bestFit="1" customWidth="1"/>
    <col min="1042" max="1044" width="8.7109375" bestFit="1" customWidth="1"/>
    <col min="1045" max="1047" width="9.7109375" bestFit="1" customWidth="1"/>
    <col min="1048" max="1049" width="8.7109375" bestFit="1" customWidth="1"/>
    <col min="1050" max="1052" width="9.7109375" bestFit="1" customWidth="1"/>
    <col min="1053" max="1054" width="8.7109375" bestFit="1" customWidth="1"/>
    <col min="1055" max="1060" width="9.7109375" bestFit="1" customWidth="1"/>
    <col min="1061" max="1062" width="8.7109375" bestFit="1" customWidth="1"/>
    <col min="1063" max="1066" width="9.7109375" bestFit="1" customWidth="1"/>
    <col min="1067" max="1067" width="8.7109375" bestFit="1" customWidth="1"/>
    <col min="1068" max="1071" width="9.7109375" bestFit="1" customWidth="1"/>
    <col min="1072" max="1073" width="8.7109375" bestFit="1" customWidth="1"/>
    <col min="1074" max="1078" width="9.7109375" bestFit="1" customWidth="1"/>
    <col min="1079" max="1080" width="8.7109375" bestFit="1" customWidth="1"/>
    <col min="1081" max="1086" width="9.7109375" bestFit="1" customWidth="1"/>
    <col min="1087" max="1090" width="8.7109375" bestFit="1" customWidth="1"/>
    <col min="1091" max="1095" width="9.7109375" bestFit="1" customWidth="1"/>
    <col min="1096" max="1097" width="8.7109375" bestFit="1" customWidth="1"/>
    <col min="1098" max="1102" width="9.7109375" bestFit="1" customWidth="1"/>
    <col min="1103" max="1105" width="8.7109375" bestFit="1" customWidth="1"/>
    <col min="1106" max="1110" width="9.7109375" bestFit="1" customWidth="1"/>
    <col min="1111" max="1112" width="8.7109375" bestFit="1" customWidth="1"/>
    <col min="1113" max="1120" width="9.7109375" bestFit="1" customWidth="1"/>
    <col min="1121" max="1121" width="8.7109375" bestFit="1" customWidth="1"/>
    <col min="1122" max="1123" width="9.7109375" bestFit="1" customWidth="1"/>
    <col min="1124" max="1127" width="8.7109375" bestFit="1" customWidth="1"/>
    <col min="1128" max="1134" width="9.7109375" bestFit="1" customWidth="1"/>
    <col min="1135" max="1135" width="8.7109375" bestFit="1" customWidth="1"/>
    <col min="1136" max="1137" width="9.7109375" bestFit="1" customWidth="1"/>
    <col min="1138" max="1138" width="8.7109375" bestFit="1" customWidth="1"/>
    <col min="1139" max="1143" width="9.7109375" bestFit="1" customWidth="1"/>
    <col min="1144" max="1144" width="8.7109375" bestFit="1" customWidth="1"/>
    <col min="1145" max="1149" width="9.7109375" bestFit="1" customWidth="1"/>
    <col min="1150" max="1151" width="8.7109375" bestFit="1" customWidth="1"/>
    <col min="1152" max="1154" width="9.7109375" bestFit="1" customWidth="1"/>
    <col min="1155" max="1158" width="8.7109375" bestFit="1" customWidth="1"/>
    <col min="1159" max="1165" width="9.7109375" bestFit="1" customWidth="1"/>
    <col min="1166" max="1167" width="8.7109375" bestFit="1" customWidth="1"/>
    <col min="1168" max="1174" width="9.7109375" bestFit="1" customWidth="1"/>
    <col min="1175" max="1177" width="8.7109375" bestFit="1" customWidth="1"/>
    <col min="1178" max="1184" width="9.7109375" bestFit="1" customWidth="1"/>
    <col min="1185" max="1186" width="8.7109375" bestFit="1" customWidth="1"/>
    <col min="1187" max="1192" width="9.7109375" bestFit="1" customWidth="1"/>
    <col min="1193" max="1193" width="8.7109375" bestFit="1" customWidth="1"/>
    <col min="1194" max="1200" width="9.7109375" bestFit="1" customWidth="1"/>
    <col min="1201" max="1205" width="8.7109375" bestFit="1" customWidth="1"/>
    <col min="1206" max="1211" width="9.7109375" bestFit="1" customWidth="1"/>
    <col min="1212" max="1214" width="8.7109375" bestFit="1" customWidth="1"/>
    <col min="1215" max="1222" width="9.7109375" bestFit="1" customWidth="1"/>
    <col min="1223" max="1223" width="8.7109375" bestFit="1" customWidth="1"/>
    <col min="1224" max="1230" width="9.7109375" bestFit="1" customWidth="1"/>
    <col min="1231" max="1233" width="8.7109375" bestFit="1" customWidth="1"/>
    <col min="1234" max="1236" width="9.7109375" bestFit="1" customWidth="1"/>
    <col min="1237" max="1237" width="8.7109375" bestFit="1" customWidth="1"/>
    <col min="1238" max="1245" width="9.7109375" bestFit="1" customWidth="1"/>
    <col min="1246" max="1248" width="8.7109375" bestFit="1" customWidth="1"/>
    <col min="1249" max="1255" width="9.7109375" bestFit="1" customWidth="1"/>
    <col min="1256" max="1258" width="8.7109375" bestFit="1" customWidth="1"/>
    <col min="1259" max="1262" width="9.7109375" bestFit="1" customWidth="1"/>
    <col min="1263" max="1268" width="8.7109375" bestFit="1" customWidth="1"/>
    <col min="1269" max="1272" width="9.7109375" bestFit="1" customWidth="1"/>
    <col min="1273" max="1273" width="8.7109375" bestFit="1" customWidth="1"/>
    <col min="1274" max="1283" width="9.7109375" bestFit="1" customWidth="1"/>
    <col min="1284" max="1285" width="8.7109375" bestFit="1" customWidth="1"/>
    <col min="1286" max="1291" width="9.7109375" bestFit="1" customWidth="1"/>
    <col min="1292" max="1295" width="8.7109375" bestFit="1" customWidth="1"/>
    <col min="1296" max="1299" width="9.7109375" bestFit="1" customWidth="1"/>
    <col min="1300" max="1303" width="8.7109375" bestFit="1" customWidth="1"/>
    <col min="1304" max="1309" width="9.7109375" bestFit="1" customWidth="1"/>
    <col min="1310" max="1311" width="8.7109375" bestFit="1" customWidth="1"/>
    <col min="1312" max="1322" width="9.7109375" bestFit="1" customWidth="1"/>
    <col min="1323" max="1324" width="8.7109375" bestFit="1" customWidth="1"/>
    <col min="1325" max="1330" width="9.7109375" bestFit="1" customWidth="1"/>
    <col min="1331" max="1331" width="8.7109375" bestFit="1" customWidth="1"/>
    <col min="1332" max="1337" width="9.7109375" bestFit="1" customWidth="1"/>
    <col min="1338" max="1338" width="8.7109375" bestFit="1" customWidth="1"/>
    <col min="1339" max="1344" width="9.7109375" bestFit="1" customWidth="1"/>
    <col min="1345" max="1345" width="8.7109375" bestFit="1" customWidth="1"/>
    <col min="1346" max="1347" width="9.7109375" bestFit="1" customWidth="1"/>
    <col min="1348" max="1349" width="8.7109375" bestFit="1" customWidth="1"/>
    <col min="1350" max="1354" width="9.7109375" bestFit="1" customWidth="1"/>
    <col min="1355" max="1358" width="8.7109375" bestFit="1" customWidth="1"/>
    <col min="1359" max="1363" width="9.7109375" bestFit="1" customWidth="1"/>
    <col min="1364" max="1366" width="8.7109375" bestFit="1" customWidth="1"/>
    <col min="1367" max="1370" width="9.7109375" bestFit="1" customWidth="1"/>
    <col min="1371" max="1371" width="8.7109375" bestFit="1" customWidth="1"/>
    <col min="1372" max="1380" width="9.7109375" bestFit="1" customWidth="1"/>
    <col min="1381" max="1383" width="8.7109375" bestFit="1" customWidth="1"/>
    <col min="1384" max="1389" width="9.7109375" bestFit="1" customWidth="1"/>
    <col min="1390" max="1391" width="8.7109375" bestFit="1" customWidth="1"/>
    <col min="1392" max="1400" width="9.7109375" bestFit="1" customWidth="1"/>
    <col min="1401" max="1401" width="8.7109375" bestFit="1" customWidth="1"/>
    <col min="1402" max="1404" width="9.7109375" bestFit="1" customWidth="1"/>
    <col min="1405" max="1405" width="8.7109375" bestFit="1" customWidth="1"/>
    <col min="1406" max="1409" width="9.7109375" bestFit="1" customWidth="1"/>
    <col min="1410" max="1412" width="8.7109375" bestFit="1" customWidth="1"/>
    <col min="1413" max="1417" width="9.7109375" bestFit="1" customWidth="1"/>
    <col min="1418" max="1422" width="8.7109375" bestFit="1" customWidth="1"/>
    <col min="1423" max="1430" width="9.7109375" bestFit="1" customWidth="1"/>
    <col min="1431" max="1432" width="8.7109375" bestFit="1" customWidth="1"/>
    <col min="1433" max="1437" width="9.7109375" bestFit="1" customWidth="1"/>
    <col min="1438" max="1441" width="8.7109375" bestFit="1" customWidth="1"/>
    <col min="1442" max="1449" width="9.7109375" bestFit="1" customWidth="1"/>
    <col min="1450" max="1452" width="8.7109375" bestFit="1" customWidth="1"/>
    <col min="1453" max="1459" width="9.7109375" bestFit="1" customWidth="1"/>
    <col min="1460" max="1461" width="8.7109375" bestFit="1" customWidth="1"/>
    <col min="1462" max="1470" width="9.7109375" bestFit="1" customWidth="1"/>
    <col min="1471" max="1476" width="8.7109375" bestFit="1" customWidth="1"/>
    <col min="1477" max="1482" width="9.7109375" bestFit="1" customWidth="1"/>
    <col min="1483" max="1485" width="8.7109375" bestFit="1" customWidth="1"/>
    <col min="1486" max="1490" width="9.7109375" bestFit="1" customWidth="1"/>
    <col min="1491" max="1493" width="8.7109375" bestFit="1" customWidth="1"/>
    <col min="1494" max="1499" width="9.7109375" bestFit="1" customWidth="1"/>
    <col min="1500" max="1501" width="8.7109375" bestFit="1" customWidth="1"/>
    <col min="1502" max="1505" width="9.7109375" bestFit="1" customWidth="1"/>
    <col min="1506" max="1509" width="8.7109375" bestFit="1" customWidth="1"/>
    <col min="1510" max="1517" width="9.7109375" bestFit="1" customWidth="1"/>
    <col min="1518" max="1519" width="8.7109375" bestFit="1" customWidth="1"/>
    <col min="1520" max="1521" width="9.7109375" bestFit="1" customWidth="1"/>
    <col min="1522" max="1526" width="8.7109375" bestFit="1" customWidth="1"/>
    <col min="1527" max="1530" width="9.7109375" bestFit="1" customWidth="1"/>
    <col min="1531" max="1533" width="8.7109375" bestFit="1" customWidth="1"/>
    <col min="1534" max="1535" width="9.7109375" bestFit="1" customWidth="1"/>
    <col min="1536" max="1536" width="8.7109375" bestFit="1" customWidth="1"/>
    <col min="1537" max="1542" width="9.7109375" bestFit="1" customWidth="1"/>
    <col min="1543" max="1543" width="8.7109375" bestFit="1" customWidth="1"/>
    <col min="1544" max="1549" width="9.7109375" bestFit="1" customWidth="1"/>
    <col min="1550" max="1551" width="10.7109375" bestFit="1" customWidth="1"/>
    <col min="1552" max="1555" width="9.7109375" bestFit="1" customWidth="1"/>
    <col min="1556" max="1558" width="10.7109375" bestFit="1" customWidth="1"/>
    <col min="1559" max="1560" width="9.7109375" bestFit="1" customWidth="1"/>
    <col min="1561" max="1567" width="10.7109375" bestFit="1" customWidth="1"/>
    <col min="1568" max="1569" width="9.7109375" bestFit="1" customWidth="1"/>
    <col min="1570" max="1574" width="10.7109375" bestFit="1" customWidth="1"/>
    <col min="1575" max="1577" width="9.7109375" bestFit="1" customWidth="1"/>
    <col min="1578" max="1592" width="10.7109375" bestFit="1" customWidth="1"/>
    <col min="1593" max="1595" width="9.7109375" bestFit="1" customWidth="1"/>
    <col min="1596" max="1602" width="10.7109375" bestFit="1" customWidth="1"/>
    <col min="1603" max="1603" width="9.7109375" bestFit="1" customWidth="1"/>
    <col min="1604" max="1608" width="10.7109375" bestFit="1" customWidth="1"/>
    <col min="1609" max="1611" width="9.7109375" bestFit="1" customWidth="1"/>
    <col min="1612" max="1618" width="10.7109375" bestFit="1" customWidth="1"/>
    <col min="1619" max="1623" width="9.7109375" bestFit="1" customWidth="1"/>
    <col min="1624" max="1633" width="10.7109375" bestFit="1" customWidth="1"/>
    <col min="1634" max="1635" width="9.7109375" bestFit="1" customWidth="1"/>
    <col min="1636" max="1641" width="10.7109375" bestFit="1" customWidth="1"/>
    <col min="1642" max="1642" width="9.7109375" bestFit="1" customWidth="1"/>
    <col min="1643" max="1647" width="10.7109375" bestFit="1" customWidth="1"/>
    <col min="1648" max="1649" width="9.7109375" bestFit="1" customWidth="1"/>
    <col min="1650" max="1655" width="10.7109375" bestFit="1" customWidth="1"/>
    <col min="1656" max="1659" width="9.7109375" bestFit="1" customWidth="1"/>
    <col min="1660" max="1664" width="10.7109375" bestFit="1" customWidth="1"/>
    <col min="1665" max="1666" width="9.7109375" bestFit="1" customWidth="1"/>
    <col min="1667" max="1668" width="10.7109375" bestFit="1" customWidth="1"/>
    <col min="1669" max="1670" width="9.7109375" bestFit="1" customWidth="1"/>
    <col min="1671" max="1675" width="10.7109375" bestFit="1" customWidth="1"/>
    <col min="1676" max="1677" width="9.7109375" bestFit="1" customWidth="1"/>
    <col min="1678" max="1684" width="10.7109375" bestFit="1" customWidth="1"/>
    <col min="1685" max="1687" width="9.7109375" bestFit="1" customWidth="1"/>
    <col min="1688" max="1696" width="10.7109375" bestFit="1" customWidth="1"/>
    <col min="1697" max="1697" width="9.7109375" bestFit="1" customWidth="1"/>
    <col min="1698" max="1702" width="10.7109375" bestFit="1" customWidth="1"/>
    <col min="1703" max="1705" width="9.7109375" bestFit="1" customWidth="1"/>
    <col min="1706" max="1711" width="10.7109375" bestFit="1" customWidth="1"/>
    <col min="1712" max="1712" width="9.7109375" bestFit="1" customWidth="1"/>
    <col min="1713" max="1716" width="10.7109375" bestFit="1" customWidth="1"/>
    <col min="1717" max="1719" width="9.7109375" bestFit="1" customWidth="1"/>
    <col min="1720" max="1723" width="10.7109375" bestFit="1" customWidth="1"/>
    <col min="1724" max="1726" width="9.7109375" bestFit="1" customWidth="1"/>
    <col min="1727" max="1729" width="10.7109375" bestFit="1" customWidth="1"/>
    <col min="1730" max="1732" width="9.7109375" bestFit="1" customWidth="1"/>
    <col min="1733" max="1738" width="10.7109375" bestFit="1" customWidth="1"/>
    <col min="1739" max="1739" width="9.7109375" bestFit="1" customWidth="1"/>
    <col min="1740" max="1743" width="10.7109375" bestFit="1" customWidth="1"/>
    <col min="1744" max="1746" width="9.7109375" bestFit="1" customWidth="1"/>
    <col min="1747" max="1749" width="10.7109375" bestFit="1" customWidth="1"/>
    <col min="1750" max="1752" width="9.7109375" bestFit="1" customWidth="1"/>
    <col min="1753" max="1760" width="10.7109375" bestFit="1" customWidth="1"/>
    <col min="1761" max="1763" width="9.7109375" bestFit="1" customWidth="1"/>
    <col min="1764" max="1772" width="10.7109375" bestFit="1" customWidth="1"/>
    <col min="1773" max="1773" width="15" bestFit="1" customWidth="1"/>
    <col min="1774" max="1774" width="12.5703125" bestFit="1" customWidth="1"/>
  </cols>
  <sheetData>
    <row r="3" spans="1:4" x14ac:dyDescent="0.25">
      <c r="A3" s="31" t="s">
        <v>1383</v>
      </c>
      <c r="B3" s="31" t="s">
        <v>1375</v>
      </c>
    </row>
    <row r="4" spans="1:4" x14ac:dyDescent="0.25">
      <c r="A4" s="31" t="s">
        <v>1348</v>
      </c>
      <c r="B4" t="s">
        <v>21</v>
      </c>
      <c r="C4" t="s">
        <v>22</v>
      </c>
      <c r="D4" t="s">
        <v>1349</v>
      </c>
    </row>
    <row r="5" spans="1:4" x14ac:dyDescent="0.25">
      <c r="A5" s="32" t="s">
        <v>1342</v>
      </c>
      <c r="B5" s="3">
        <v>85</v>
      </c>
      <c r="C5" s="3">
        <v>100</v>
      </c>
      <c r="D5" s="3">
        <v>185</v>
      </c>
    </row>
    <row r="6" spans="1:4" x14ac:dyDescent="0.25">
      <c r="A6" s="32" t="s">
        <v>1335</v>
      </c>
      <c r="B6" s="3">
        <v>55</v>
      </c>
      <c r="C6" s="3">
        <v>54</v>
      </c>
      <c r="D6" s="3">
        <v>109</v>
      </c>
    </row>
    <row r="7" spans="1:4" x14ac:dyDescent="0.25">
      <c r="A7" s="32" t="s">
        <v>1336</v>
      </c>
      <c r="B7" s="3">
        <v>60</v>
      </c>
      <c r="C7" s="3">
        <v>59</v>
      </c>
      <c r="D7" s="3">
        <v>119</v>
      </c>
    </row>
    <row r="8" spans="1:4" x14ac:dyDescent="0.25">
      <c r="A8" s="32" t="s">
        <v>1337</v>
      </c>
      <c r="B8" s="3">
        <v>59</v>
      </c>
      <c r="C8" s="3">
        <v>71</v>
      </c>
      <c r="D8" s="3">
        <v>130</v>
      </c>
    </row>
    <row r="9" spans="1:4" x14ac:dyDescent="0.25">
      <c r="A9" s="32" t="s">
        <v>1338</v>
      </c>
      <c r="B9" s="3">
        <v>57</v>
      </c>
      <c r="C9" s="3">
        <v>59</v>
      </c>
      <c r="D9" s="3">
        <v>116</v>
      </c>
    </row>
    <row r="10" spans="1:4" x14ac:dyDescent="0.25">
      <c r="A10" s="32" t="s">
        <v>1339</v>
      </c>
      <c r="B10" s="3">
        <v>63</v>
      </c>
      <c r="C10" s="3">
        <v>60</v>
      </c>
      <c r="D10" s="3">
        <v>123</v>
      </c>
    </row>
    <row r="11" spans="1:4" x14ac:dyDescent="0.25">
      <c r="A11" s="32" t="s">
        <v>1340</v>
      </c>
      <c r="B11" s="3">
        <v>100</v>
      </c>
      <c r="C11" s="3">
        <v>118</v>
      </c>
      <c r="D11" s="3">
        <v>218</v>
      </c>
    </row>
    <row r="12" spans="1:4" x14ac:dyDescent="0.25">
      <c r="A12" s="32" t="s">
        <v>1349</v>
      </c>
      <c r="B12" s="3">
        <v>479</v>
      </c>
      <c r="C12" s="3">
        <v>521</v>
      </c>
      <c r="D12" s="3">
        <v>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32EB7-1D12-4648-B4D4-FCA0168E568F}">
  <sheetPr codeName="Hoja9"/>
  <dimension ref="A3:N36"/>
  <sheetViews>
    <sheetView workbookViewId="0">
      <selection activeCell="A3" sqref="A3"/>
    </sheetView>
  </sheetViews>
  <sheetFormatPr baseColWidth="10" defaultRowHeight="15" x14ac:dyDescent="0.25"/>
  <cols>
    <col min="1" max="1" width="18.85546875" bestFit="1" customWidth="1"/>
    <col min="2" max="2" width="4.42578125" bestFit="1" customWidth="1"/>
    <col min="3" max="3" width="4" bestFit="1" customWidth="1"/>
    <col min="4" max="4" width="4.42578125" bestFit="1" customWidth="1"/>
    <col min="5" max="5" width="3.85546875" bestFit="1" customWidth="1"/>
    <col min="6" max="6" width="4.7109375" bestFit="1" customWidth="1"/>
    <col min="7" max="7" width="3.85546875" bestFit="1" customWidth="1"/>
    <col min="8" max="8" width="3.28515625" bestFit="1" customWidth="1"/>
    <col min="9" max="10" width="4.140625" bestFit="1" customWidth="1"/>
    <col min="11" max="11" width="3.7109375" bestFit="1" customWidth="1"/>
    <col min="12" max="12" width="4.28515625" bestFit="1" customWidth="1"/>
    <col min="13" max="13" width="3.5703125" bestFit="1" customWidth="1"/>
    <col min="14" max="14" width="12.5703125" bestFit="1" customWidth="1"/>
    <col min="15" max="15" width="8.140625" bestFit="1" customWidth="1"/>
    <col min="16" max="16" width="6" bestFit="1" customWidth="1"/>
    <col min="17" max="17" width="9" bestFit="1" customWidth="1"/>
    <col min="18" max="18" width="6" bestFit="1" customWidth="1"/>
    <col min="19" max="19" width="9" bestFit="1" customWidth="1"/>
    <col min="20" max="20" width="5.5703125" bestFit="1" customWidth="1"/>
    <col min="21" max="21" width="8.5703125" bestFit="1" customWidth="1"/>
    <col min="22" max="22" width="6.140625" bestFit="1" customWidth="1"/>
    <col min="23" max="23" width="9.140625" bestFit="1" customWidth="1"/>
    <col min="24" max="24" width="5.42578125" bestFit="1" customWidth="1"/>
    <col min="25" max="25" width="8.42578125" bestFit="1" customWidth="1"/>
    <col min="26" max="26" width="12.5703125" bestFit="1" customWidth="1"/>
    <col min="27" max="33" width="6.85546875" bestFit="1" customWidth="1"/>
    <col min="34" max="34" width="9.28515625" bestFit="1" customWidth="1"/>
    <col min="35" max="44" width="6.85546875" bestFit="1" customWidth="1"/>
    <col min="45" max="45" width="8.7109375" bestFit="1" customWidth="1"/>
    <col min="46" max="55" width="6.85546875" bestFit="1" customWidth="1"/>
    <col min="56" max="56" width="9.5703125" bestFit="1" customWidth="1"/>
    <col min="57" max="66" width="6.85546875" bestFit="1" customWidth="1"/>
    <col min="67" max="67" width="8.7109375" bestFit="1" customWidth="1"/>
    <col min="68" max="77" width="6.85546875" bestFit="1" customWidth="1"/>
    <col min="78" max="78" width="8.140625" bestFit="1" customWidth="1"/>
    <col min="79" max="88" width="6.85546875" bestFit="1" customWidth="1"/>
    <col min="89" max="89" width="9" bestFit="1" customWidth="1"/>
    <col min="90" max="99" width="6.85546875" bestFit="1" customWidth="1"/>
    <col min="100" max="100" width="9" bestFit="1" customWidth="1"/>
    <col min="101" max="110" width="6.85546875" bestFit="1" customWidth="1"/>
    <col min="111" max="111" width="8.5703125" bestFit="1" customWidth="1"/>
    <col min="112" max="121" width="6.85546875" bestFit="1" customWidth="1"/>
    <col min="122" max="122" width="9.140625" bestFit="1" customWidth="1"/>
    <col min="123" max="132" width="6.85546875" bestFit="1" customWidth="1"/>
    <col min="133" max="133" width="8.42578125" bestFit="1" customWidth="1"/>
    <col min="134" max="134" width="12.5703125" bestFit="1" customWidth="1"/>
    <col min="135" max="135" width="8.42578125" bestFit="1" customWidth="1"/>
    <col min="136" max="136" width="11.42578125" bestFit="1" customWidth="1"/>
    <col min="137" max="137" width="9.85546875" bestFit="1" customWidth="1"/>
    <col min="138" max="138" width="8.42578125" bestFit="1" customWidth="1"/>
    <col min="139" max="139" width="11.42578125" bestFit="1" customWidth="1"/>
    <col min="140" max="140" width="9.85546875" bestFit="1" customWidth="1"/>
    <col min="141" max="141" width="8.42578125" bestFit="1" customWidth="1"/>
    <col min="142" max="142" width="11.42578125" bestFit="1" customWidth="1"/>
    <col min="143" max="143" width="9.85546875" bestFit="1" customWidth="1"/>
    <col min="144" max="144" width="8.42578125" bestFit="1" customWidth="1"/>
    <col min="145" max="145" width="11.42578125" bestFit="1" customWidth="1"/>
    <col min="146" max="146" width="9.85546875" bestFit="1" customWidth="1"/>
    <col min="147" max="147" width="8.42578125" bestFit="1" customWidth="1"/>
    <col min="148" max="148" width="11.42578125" bestFit="1" customWidth="1"/>
    <col min="149" max="149" width="9.85546875" bestFit="1" customWidth="1"/>
    <col min="150" max="150" width="8.42578125" bestFit="1" customWidth="1"/>
    <col min="151" max="151" width="11.42578125" bestFit="1" customWidth="1"/>
    <col min="152" max="152" width="9.85546875" bestFit="1" customWidth="1"/>
    <col min="153" max="153" width="8.42578125" bestFit="1" customWidth="1"/>
    <col min="154" max="154" width="11.42578125" bestFit="1" customWidth="1"/>
    <col min="155" max="155" width="9.85546875" bestFit="1" customWidth="1"/>
    <col min="156" max="156" width="9.5703125" bestFit="1" customWidth="1"/>
    <col min="157" max="157" width="8.42578125" bestFit="1" customWidth="1"/>
    <col min="158" max="158" width="11.42578125" bestFit="1" customWidth="1"/>
    <col min="159" max="159" width="9.85546875" bestFit="1" customWidth="1"/>
    <col min="160" max="160" width="8.42578125" bestFit="1" customWidth="1"/>
    <col min="161" max="161" width="11.42578125" bestFit="1" customWidth="1"/>
    <col min="162" max="162" width="9.85546875" bestFit="1" customWidth="1"/>
    <col min="163" max="163" width="8.42578125" bestFit="1" customWidth="1"/>
    <col min="164" max="164" width="11.42578125" bestFit="1" customWidth="1"/>
    <col min="165" max="165" width="9.85546875" bestFit="1" customWidth="1"/>
    <col min="166" max="166" width="8.42578125" bestFit="1" customWidth="1"/>
    <col min="167" max="167" width="11.42578125" bestFit="1" customWidth="1"/>
    <col min="168" max="168" width="9.85546875" bestFit="1" customWidth="1"/>
    <col min="169" max="169" width="8.42578125" bestFit="1" customWidth="1"/>
    <col min="170" max="170" width="11.42578125" bestFit="1" customWidth="1"/>
    <col min="171" max="171" width="9.85546875" bestFit="1" customWidth="1"/>
    <col min="172" max="172" width="8.42578125" bestFit="1" customWidth="1"/>
    <col min="173" max="173" width="11.42578125" bestFit="1" customWidth="1"/>
    <col min="174" max="174" width="9.85546875" bestFit="1" customWidth="1"/>
    <col min="175" max="175" width="8.42578125" bestFit="1" customWidth="1"/>
    <col min="176" max="176" width="11.42578125" bestFit="1" customWidth="1"/>
    <col min="177" max="177" width="9.85546875" bestFit="1" customWidth="1"/>
    <col min="178" max="178" width="8.42578125" bestFit="1" customWidth="1"/>
    <col min="179" max="179" width="11.42578125" bestFit="1" customWidth="1"/>
    <col min="180" max="180" width="9.85546875" bestFit="1" customWidth="1"/>
    <col min="181" max="181" width="8.42578125" bestFit="1" customWidth="1"/>
    <col min="182" max="182" width="11.42578125" bestFit="1" customWidth="1"/>
    <col min="183" max="183" width="9.85546875" bestFit="1" customWidth="1"/>
    <col min="184" max="184" width="8.42578125" bestFit="1" customWidth="1"/>
    <col min="185" max="185" width="11.42578125" bestFit="1" customWidth="1"/>
    <col min="186" max="186" width="9.85546875" bestFit="1" customWidth="1"/>
    <col min="187" max="187" width="8.7109375" bestFit="1" customWidth="1"/>
    <col min="188" max="188" width="8.42578125" bestFit="1" customWidth="1"/>
    <col min="189" max="189" width="11.42578125" bestFit="1" customWidth="1"/>
    <col min="190" max="190" width="9.85546875" bestFit="1" customWidth="1"/>
    <col min="191" max="191" width="8.42578125" bestFit="1" customWidth="1"/>
    <col min="192" max="192" width="11.42578125" bestFit="1" customWidth="1"/>
    <col min="193" max="193" width="9.85546875" bestFit="1" customWidth="1"/>
    <col min="194" max="194" width="8.42578125" bestFit="1" customWidth="1"/>
    <col min="195" max="195" width="11.42578125" bestFit="1" customWidth="1"/>
    <col min="196" max="196" width="9.85546875" bestFit="1" customWidth="1"/>
    <col min="197" max="197" width="8.42578125" bestFit="1" customWidth="1"/>
    <col min="198" max="198" width="11.42578125" bestFit="1" customWidth="1"/>
    <col min="199" max="199" width="9.85546875" bestFit="1" customWidth="1"/>
    <col min="200" max="200" width="8.42578125" bestFit="1" customWidth="1"/>
    <col min="201" max="201" width="11.42578125" bestFit="1" customWidth="1"/>
    <col min="202" max="202" width="9.85546875" bestFit="1" customWidth="1"/>
    <col min="203" max="203" width="8.42578125" bestFit="1" customWidth="1"/>
    <col min="204" max="204" width="11.42578125" bestFit="1" customWidth="1"/>
    <col min="205" max="205" width="9.85546875" bestFit="1" customWidth="1"/>
    <col min="206" max="206" width="8.42578125" bestFit="1" customWidth="1"/>
    <col min="207" max="207" width="11.42578125" bestFit="1" customWidth="1"/>
    <col min="208" max="208" width="9.85546875" bestFit="1" customWidth="1"/>
    <col min="209" max="209" width="8.42578125" bestFit="1" customWidth="1"/>
    <col min="210" max="210" width="11.42578125" bestFit="1" customWidth="1"/>
    <col min="211" max="211" width="9.85546875" bestFit="1" customWidth="1"/>
    <col min="212" max="212" width="8.42578125" bestFit="1" customWidth="1"/>
    <col min="213" max="213" width="11.42578125" bestFit="1" customWidth="1"/>
    <col min="214" max="214" width="9.85546875" bestFit="1" customWidth="1"/>
    <col min="215" max="215" width="8.42578125" bestFit="1" customWidth="1"/>
    <col min="216" max="216" width="11.42578125" bestFit="1" customWidth="1"/>
    <col min="217" max="217" width="9.85546875" bestFit="1" customWidth="1"/>
    <col min="218" max="218" width="8.140625" bestFit="1" customWidth="1"/>
    <col min="219" max="219" width="8.42578125" bestFit="1" customWidth="1"/>
    <col min="220" max="220" width="11.42578125" bestFit="1" customWidth="1"/>
    <col min="221" max="221" width="9.85546875" bestFit="1" customWidth="1"/>
    <col min="222" max="222" width="8.42578125" bestFit="1" customWidth="1"/>
    <col min="223" max="223" width="11.42578125" bestFit="1" customWidth="1"/>
    <col min="224" max="224" width="9.85546875" bestFit="1" customWidth="1"/>
    <col min="225" max="225" width="8.42578125" bestFit="1" customWidth="1"/>
    <col min="226" max="226" width="11.42578125" bestFit="1" customWidth="1"/>
    <col min="227" max="227" width="9.85546875" bestFit="1" customWidth="1"/>
    <col min="228" max="228" width="8.42578125" bestFit="1" customWidth="1"/>
    <col min="229" max="229" width="11.42578125" bestFit="1" customWidth="1"/>
    <col min="230" max="230" width="9.85546875" bestFit="1" customWidth="1"/>
    <col min="231" max="231" width="8.42578125" bestFit="1" customWidth="1"/>
    <col min="232" max="232" width="11.42578125" bestFit="1" customWidth="1"/>
    <col min="233" max="233" width="9.85546875" bestFit="1" customWidth="1"/>
    <col min="234" max="234" width="8.42578125" bestFit="1" customWidth="1"/>
    <col min="235" max="235" width="11.42578125" bestFit="1" customWidth="1"/>
    <col min="236" max="236" width="9.85546875" bestFit="1" customWidth="1"/>
    <col min="237" max="237" width="8.42578125" bestFit="1" customWidth="1"/>
    <col min="238" max="238" width="11.42578125" bestFit="1" customWidth="1"/>
    <col min="239" max="239" width="9.85546875" bestFit="1" customWidth="1"/>
    <col min="240" max="240" width="8.42578125" bestFit="1" customWidth="1"/>
    <col min="241" max="241" width="11.42578125" bestFit="1" customWidth="1"/>
    <col min="242" max="242" width="9.85546875" bestFit="1" customWidth="1"/>
    <col min="243" max="243" width="8.42578125" bestFit="1" customWidth="1"/>
    <col min="244" max="244" width="11.42578125" bestFit="1" customWidth="1"/>
    <col min="245" max="245" width="9.85546875" bestFit="1" customWidth="1"/>
    <col min="246" max="246" width="8.42578125" bestFit="1" customWidth="1"/>
    <col min="247" max="247" width="11.42578125" bestFit="1" customWidth="1"/>
    <col min="248" max="248" width="9.85546875" bestFit="1" customWidth="1"/>
    <col min="249" max="249" width="9" bestFit="1" customWidth="1"/>
    <col min="250" max="250" width="8.42578125" bestFit="1" customWidth="1"/>
    <col min="251" max="251" width="11.42578125" bestFit="1" customWidth="1"/>
    <col min="252" max="252" width="9.85546875" bestFit="1" customWidth="1"/>
    <col min="253" max="253" width="8.42578125" bestFit="1" customWidth="1"/>
    <col min="254" max="254" width="11.42578125" bestFit="1" customWidth="1"/>
    <col min="255" max="255" width="9.85546875" bestFit="1" customWidth="1"/>
    <col min="256" max="256" width="8.42578125" bestFit="1" customWidth="1"/>
    <col min="257" max="257" width="11.42578125" bestFit="1" customWidth="1"/>
    <col min="258" max="258" width="9.85546875" bestFit="1" customWidth="1"/>
    <col min="259" max="259" width="8.42578125" bestFit="1" customWidth="1"/>
    <col min="260" max="260" width="11.42578125" bestFit="1" customWidth="1"/>
    <col min="261" max="261" width="9.85546875" bestFit="1" customWidth="1"/>
    <col min="262" max="262" width="8.42578125" bestFit="1" customWidth="1"/>
    <col min="263" max="263" width="11.42578125" bestFit="1" customWidth="1"/>
    <col min="264" max="264" width="9.85546875" bestFit="1" customWidth="1"/>
    <col min="265" max="265" width="8.42578125" bestFit="1" customWidth="1"/>
    <col min="266" max="266" width="11.42578125" bestFit="1" customWidth="1"/>
    <col min="267" max="267" width="9.85546875" bestFit="1" customWidth="1"/>
    <col min="268" max="268" width="8.42578125" bestFit="1" customWidth="1"/>
    <col min="269" max="269" width="11.42578125" bestFit="1" customWidth="1"/>
    <col min="270" max="270" width="9.85546875" bestFit="1" customWidth="1"/>
    <col min="271" max="271" width="8.42578125" bestFit="1" customWidth="1"/>
    <col min="272" max="272" width="11.42578125" bestFit="1" customWidth="1"/>
    <col min="273" max="273" width="9.85546875" bestFit="1" customWidth="1"/>
    <col min="274" max="274" width="8.42578125" bestFit="1" customWidth="1"/>
    <col min="275" max="275" width="11.42578125" bestFit="1" customWidth="1"/>
    <col min="276" max="276" width="9.85546875" bestFit="1" customWidth="1"/>
    <col min="277" max="277" width="8.42578125" bestFit="1" customWidth="1"/>
    <col min="278" max="278" width="11.42578125" bestFit="1" customWidth="1"/>
    <col min="279" max="279" width="9.85546875" bestFit="1" customWidth="1"/>
    <col min="280" max="280" width="9" bestFit="1" customWidth="1"/>
    <col min="281" max="281" width="8.42578125" bestFit="1" customWidth="1"/>
    <col min="282" max="282" width="11.42578125" bestFit="1" customWidth="1"/>
    <col min="283" max="283" width="9.85546875" bestFit="1" customWidth="1"/>
    <col min="284" max="284" width="8.42578125" bestFit="1" customWidth="1"/>
    <col min="285" max="285" width="11.42578125" bestFit="1" customWidth="1"/>
    <col min="286" max="286" width="9.85546875" bestFit="1" customWidth="1"/>
    <col min="287" max="287" width="8.42578125" bestFit="1" customWidth="1"/>
    <col min="288" max="288" width="11.42578125" bestFit="1" customWidth="1"/>
    <col min="289" max="289" width="9.85546875" bestFit="1" customWidth="1"/>
    <col min="290" max="290" width="8.42578125" bestFit="1" customWidth="1"/>
    <col min="291" max="291" width="11.42578125" bestFit="1" customWidth="1"/>
    <col min="292" max="292" width="9.85546875" bestFit="1" customWidth="1"/>
    <col min="293" max="293" width="8.42578125" bestFit="1" customWidth="1"/>
    <col min="294" max="294" width="11.42578125" bestFit="1" customWidth="1"/>
    <col min="295" max="295" width="9.85546875" bestFit="1" customWidth="1"/>
    <col min="296" max="296" width="8.42578125" bestFit="1" customWidth="1"/>
    <col min="297" max="297" width="11.42578125" bestFit="1" customWidth="1"/>
    <col min="298" max="298" width="9.85546875" bestFit="1" customWidth="1"/>
    <col min="299" max="299" width="8.42578125" bestFit="1" customWidth="1"/>
    <col min="300" max="300" width="11.42578125" bestFit="1" customWidth="1"/>
    <col min="301" max="301" width="9.85546875" bestFit="1" customWidth="1"/>
    <col min="302" max="302" width="8.42578125" bestFit="1" customWidth="1"/>
    <col min="303" max="303" width="11.42578125" bestFit="1" customWidth="1"/>
    <col min="304" max="304" width="9.85546875" bestFit="1" customWidth="1"/>
    <col min="305" max="305" width="8.42578125" bestFit="1" customWidth="1"/>
    <col min="306" max="306" width="11.42578125" bestFit="1" customWidth="1"/>
    <col min="307" max="307" width="9.85546875" bestFit="1" customWidth="1"/>
    <col min="308" max="308" width="8.42578125" bestFit="1" customWidth="1"/>
    <col min="309" max="309" width="11.42578125" bestFit="1" customWidth="1"/>
    <col min="310" max="310" width="9.85546875" bestFit="1" customWidth="1"/>
    <col min="311" max="311" width="8.5703125" bestFit="1" customWidth="1"/>
    <col min="312" max="312" width="8.42578125" bestFit="1" customWidth="1"/>
    <col min="313" max="313" width="11.42578125" bestFit="1" customWidth="1"/>
    <col min="314" max="314" width="9.85546875" bestFit="1" customWidth="1"/>
    <col min="315" max="315" width="8.42578125" bestFit="1" customWidth="1"/>
    <col min="316" max="316" width="11.42578125" bestFit="1" customWidth="1"/>
    <col min="317" max="317" width="9.85546875" bestFit="1" customWidth="1"/>
    <col min="318" max="318" width="8.42578125" bestFit="1" customWidth="1"/>
    <col min="319" max="319" width="11.42578125" bestFit="1" customWidth="1"/>
    <col min="320" max="320" width="9.85546875" bestFit="1" customWidth="1"/>
    <col min="321" max="321" width="8.42578125" bestFit="1" customWidth="1"/>
    <col min="322" max="322" width="11.42578125" bestFit="1" customWidth="1"/>
    <col min="323" max="323" width="9.85546875" bestFit="1" customWidth="1"/>
    <col min="324" max="324" width="8.42578125" bestFit="1" customWidth="1"/>
    <col min="325" max="325" width="11.42578125" bestFit="1" customWidth="1"/>
    <col min="326" max="326" width="9.85546875" bestFit="1" customWidth="1"/>
    <col min="327" max="327" width="8.42578125" bestFit="1" customWidth="1"/>
    <col min="328" max="328" width="11.42578125" bestFit="1" customWidth="1"/>
    <col min="329" max="329" width="9.85546875" bestFit="1" customWidth="1"/>
    <col min="330" max="330" width="8.42578125" bestFit="1" customWidth="1"/>
    <col min="331" max="331" width="11.42578125" bestFit="1" customWidth="1"/>
    <col min="332" max="332" width="9.85546875" bestFit="1" customWidth="1"/>
    <col min="333" max="333" width="8.42578125" bestFit="1" customWidth="1"/>
    <col min="334" max="334" width="11.42578125" bestFit="1" customWidth="1"/>
    <col min="335" max="335" width="9.85546875" bestFit="1" customWidth="1"/>
    <col min="336" max="336" width="8.42578125" bestFit="1" customWidth="1"/>
    <col min="337" max="337" width="11.42578125" bestFit="1" customWidth="1"/>
    <col min="338" max="338" width="9.85546875" bestFit="1" customWidth="1"/>
    <col min="339" max="339" width="8.42578125" bestFit="1" customWidth="1"/>
    <col min="340" max="340" width="11.42578125" bestFit="1" customWidth="1"/>
    <col min="341" max="341" width="9.85546875" bestFit="1" customWidth="1"/>
    <col min="342" max="342" width="9.140625" bestFit="1" customWidth="1"/>
    <col min="343" max="343" width="8.42578125" bestFit="1" customWidth="1"/>
    <col min="344" max="344" width="11.42578125" bestFit="1" customWidth="1"/>
    <col min="345" max="345" width="9.85546875" bestFit="1" customWidth="1"/>
    <col min="346" max="346" width="8.42578125" bestFit="1" customWidth="1"/>
    <col min="347" max="347" width="11.42578125" bestFit="1" customWidth="1"/>
    <col min="348" max="348" width="9.85546875" bestFit="1" customWidth="1"/>
    <col min="349" max="349" width="8.42578125" bestFit="1" customWidth="1"/>
    <col min="350" max="350" width="11.42578125" bestFit="1" customWidth="1"/>
    <col min="351" max="351" width="9.85546875" bestFit="1" customWidth="1"/>
    <col min="352" max="352" width="8.42578125" bestFit="1" customWidth="1"/>
    <col min="353" max="353" width="11.42578125" bestFit="1" customWidth="1"/>
    <col min="354" max="354" width="9.85546875" bestFit="1" customWidth="1"/>
    <col min="355" max="355" width="8.42578125" bestFit="1" customWidth="1"/>
    <col min="356" max="356" width="11.42578125" bestFit="1" customWidth="1"/>
    <col min="357" max="357" width="9.85546875" bestFit="1" customWidth="1"/>
    <col min="358" max="358" width="8.42578125" bestFit="1" customWidth="1"/>
    <col min="359" max="359" width="11.42578125" bestFit="1" customWidth="1"/>
    <col min="360" max="360" width="9.85546875" bestFit="1" customWidth="1"/>
    <col min="361" max="361" width="8.42578125" bestFit="1" customWidth="1"/>
    <col min="362" max="362" width="11.42578125" bestFit="1" customWidth="1"/>
    <col min="363" max="363" width="9.85546875" bestFit="1" customWidth="1"/>
    <col min="364" max="364" width="8.42578125" bestFit="1" customWidth="1"/>
    <col min="365" max="365" width="11.42578125" bestFit="1" customWidth="1"/>
    <col min="366" max="366" width="9.85546875" bestFit="1" customWidth="1"/>
    <col min="367" max="367" width="8.42578125" bestFit="1" customWidth="1"/>
    <col min="368" max="368" width="11.42578125" bestFit="1" customWidth="1"/>
    <col min="369" max="369" width="9.85546875" bestFit="1" customWidth="1"/>
    <col min="370" max="370" width="8.42578125" bestFit="1" customWidth="1"/>
    <col min="371" max="371" width="11.42578125" bestFit="1" customWidth="1"/>
    <col min="372" max="372" width="9.85546875" bestFit="1" customWidth="1"/>
    <col min="373" max="373" width="8.42578125" bestFit="1" customWidth="1"/>
    <col min="374" max="374" width="12.5703125" bestFit="1" customWidth="1"/>
    <col min="375" max="377" width="8.7109375" bestFit="1" customWidth="1"/>
    <col min="378" max="381" width="9.7109375" bestFit="1" customWidth="1"/>
    <col min="382" max="387" width="8.7109375" bestFit="1" customWidth="1"/>
    <col min="388" max="391" width="9.7109375" bestFit="1" customWidth="1"/>
    <col min="392" max="392" width="8.7109375" bestFit="1" customWidth="1"/>
    <col min="393" max="402" width="9.7109375" bestFit="1" customWidth="1"/>
    <col min="403" max="404" width="8.7109375" bestFit="1" customWidth="1"/>
    <col min="405" max="410" width="9.7109375" bestFit="1" customWidth="1"/>
    <col min="411" max="414" width="8.7109375" bestFit="1" customWidth="1"/>
    <col min="415" max="418" width="9.7109375" bestFit="1" customWidth="1"/>
    <col min="419" max="422" width="8.7109375" bestFit="1" customWidth="1"/>
    <col min="423" max="428" width="9.7109375" bestFit="1" customWidth="1"/>
    <col min="429" max="430" width="8.7109375" bestFit="1" customWidth="1"/>
    <col min="431" max="441" width="9.7109375" bestFit="1" customWidth="1"/>
    <col min="442" max="443" width="8.7109375" bestFit="1" customWidth="1"/>
    <col min="444" max="449" width="9.7109375" bestFit="1" customWidth="1"/>
    <col min="450" max="451" width="8.7109375" bestFit="1" customWidth="1"/>
    <col min="452" max="457" width="9.7109375" bestFit="1" customWidth="1"/>
    <col min="458" max="458" width="8.7109375" bestFit="1" customWidth="1"/>
    <col min="459" max="464" width="9.7109375" bestFit="1" customWidth="1"/>
    <col min="465" max="465" width="8.7109375" bestFit="1" customWidth="1"/>
    <col min="466" max="467" width="9.7109375" bestFit="1" customWidth="1"/>
    <col min="468" max="469" width="8.7109375" bestFit="1" customWidth="1"/>
    <col min="470" max="474" width="9.7109375" bestFit="1" customWidth="1"/>
    <col min="475" max="478" width="8.7109375" bestFit="1" customWidth="1"/>
    <col min="479" max="483" width="9.7109375" bestFit="1" customWidth="1"/>
    <col min="484" max="486" width="8.7109375" bestFit="1" customWidth="1"/>
    <col min="487" max="490" width="9.7109375" bestFit="1" customWidth="1"/>
    <col min="491" max="491" width="8.7109375" bestFit="1" customWidth="1"/>
    <col min="492" max="500" width="9.7109375" bestFit="1" customWidth="1"/>
    <col min="501" max="503" width="8.7109375" bestFit="1" customWidth="1"/>
    <col min="504" max="509" width="9.7109375" bestFit="1" customWidth="1"/>
    <col min="510" max="511" width="8.7109375" bestFit="1" customWidth="1"/>
    <col min="512" max="514" width="9.7109375" bestFit="1" customWidth="1"/>
    <col min="515" max="515" width="8.140625" bestFit="1" customWidth="1"/>
    <col min="516" max="521" width="9.7109375" bestFit="1" customWidth="1"/>
    <col min="522" max="522" width="8.7109375" bestFit="1" customWidth="1"/>
    <col min="523" max="525" width="9.7109375" bestFit="1" customWidth="1"/>
    <col min="526" max="526" width="8.7109375" bestFit="1" customWidth="1"/>
    <col min="527" max="530" width="9.7109375" bestFit="1" customWidth="1"/>
    <col min="531" max="533" width="8.7109375" bestFit="1" customWidth="1"/>
    <col min="534" max="538" width="9.7109375" bestFit="1" customWidth="1"/>
    <col min="539" max="543" width="8.7109375" bestFit="1" customWidth="1"/>
    <col min="544" max="551" width="9.7109375" bestFit="1" customWidth="1"/>
    <col min="552" max="553" width="8.7109375" bestFit="1" customWidth="1"/>
    <col min="554" max="558" width="9.7109375" bestFit="1" customWidth="1"/>
    <col min="559" max="562" width="8.7109375" bestFit="1" customWidth="1"/>
    <col min="563" max="570" width="9.7109375" bestFit="1" customWidth="1"/>
    <col min="571" max="573" width="8.7109375" bestFit="1" customWidth="1"/>
    <col min="574" max="580" width="9.7109375" bestFit="1" customWidth="1"/>
    <col min="581" max="582" width="8.7109375" bestFit="1" customWidth="1"/>
    <col min="583" max="591" width="9.7109375" bestFit="1" customWidth="1"/>
    <col min="592" max="592" width="9" bestFit="1" customWidth="1"/>
    <col min="593" max="598" width="8.7109375" bestFit="1" customWidth="1"/>
    <col min="599" max="604" width="9.7109375" bestFit="1" customWidth="1"/>
    <col min="605" max="607" width="8.7109375" bestFit="1" customWidth="1"/>
    <col min="608" max="612" width="9.7109375" bestFit="1" customWidth="1"/>
    <col min="613" max="615" width="8.7109375" bestFit="1" customWidth="1"/>
    <col min="616" max="621" width="9.7109375" bestFit="1" customWidth="1"/>
    <col min="622" max="623" width="8.7109375" bestFit="1" customWidth="1"/>
    <col min="624" max="627" width="9.7109375" bestFit="1" customWidth="1"/>
    <col min="628" max="631" width="8.7109375" bestFit="1" customWidth="1"/>
    <col min="632" max="639" width="9.7109375" bestFit="1" customWidth="1"/>
    <col min="640" max="641" width="8.7109375" bestFit="1" customWidth="1"/>
    <col min="642" max="643" width="9.7109375" bestFit="1" customWidth="1"/>
    <col min="644" max="648" width="8.7109375" bestFit="1" customWidth="1"/>
    <col min="649" max="652" width="9.7109375" bestFit="1" customWidth="1"/>
    <col min="653" max="655" width="8.7109375" bestFit="1" customWidth="1"/>
    <col min="656" max="657" width="9.7109375" bestFit="1" customWidth="1"/>
    <col min="658" max="658" width="8.7109375" bestFit="1" customWidth="1"/>
    <col min="659" max="664" width="9.7109375" bestFit="1" customWidth="1"/>
    <col min="665" max="665" width="8.7109375" bestFit="1" customWidth="1"/>
    <col min="666" max="669" width="9.7109375" bestFit="1" customWidth="1"/>
    <col min="670" max="670" width="9" bestFit="1" customWidth="1"/>
    <col min="671" max="672" width="9.7109375" bestFit="1" customWidth="1"/>
    <col min="673" max="674" width="10.7109375" bestFit="1" customWidth="1"/>
    <col min="675" max="678" width="9.7109375" bestFit="1" customWidth="1"/>
    <col min="679" max="681" width="10.7109375" bestFit="1" customWidth="1"/>
    <col min="682" max="683" width="9.7109375" bestFit="1" customWidth="1"/>
    <col min="684" max="690" width="10.7109375" bestFit="1" customWidth="1"/>
    <col min="691" max="692" width="9.7109375" bestFit="1" customWidth="1"/>
    <col min="693" max="697" width="10.7109375" bestFit="1" customWidth="1"/>
    <col min="698" max="700" width="9.7109375" bestFit="1" customWidth="1"/>
    <col min="701" max="715" width="10.7109375" bestFit="1" customWidth="1"/>
    <col min="716" max="718" width="9.7109375" bestFit="1" customWidth="1"/>
    <col min="719" max="725" width="10.7109375" bestFit="1" customWidth="1"/>
    <col min="726" max="726" width="9.7109375" bestFit="1" customWidth="1"/>
    <col min="727" max="731" width="10.7109375" bestFit="1" customWidth="1"/>
    <col min="732" max="734" width="9.7109375" bestFit="1" customWidth="1"/>
    <col min="735" max="741" width="10.7109375" bestFit="1" customWidth="1"/>
    <col min="742" max="746" width="9.7109375" bestFit="1" customWidth="1"/>
    <col min="747" max="753" width="10.7109375" bestFit="1" customWidth="1"/>
    <col min="754" max="754" width="8.5703125" bestFit="1" customWidth="1"/>
    <col min="755" max="757" width="10.7109375" bestFit="1" customWidth="1"/>
    <col min="758" max="759" width="9.7109375" bestFit="1" customWidth="1"/>
    <col min="760" max="765" width="10.7109375" bestFit="1" customWidth="1"/>
    <col min="766" max="766" width="9.7109375" bestFit="1" customWidth="1"/>
    <col min="767" max="771" width="10.7109375" bestFit="1" customWidth="1"/>
    <col min="772" max="773" width="9.7109375" bestFit="1" customWidth="1"/>
    <col min="774" max="779" width="10.7109375" bestFit="1" customWidth="1"/>
    <col min="780" max="783" width="9.7109375" bestFit="1" customWidth="1"/>
    <col min="784" max="788" width="10.7109375" bestFit="1" customWidth="1"/>
    <col min="789" max="790" width="9.7109375" bestFit="1" customWidth="1"/>
    <col min="791" max="792" width="10.7109375" bestFit="1" customWidth="1"/>
    <col min="793" max="794" width="9.7109375" bestFit="1" customWidth="1"/>
    <col min="795" max="799" width="10.7109375" bestFit="1" customWidth="1"/>
    <col min="800" max="801" width="9.7109375" bestFit="1" customWidth="1"/>
    <col min="802" max="808" width="10.7109375" bestFit="1" customWidth="1"/>
    <col min="809" max="811" width="9.7109375" bestFit="1" customWidth="1"/>
    <col min="812" max="820" width="10.7109375" bestFit="1" customWidth="1"/>
    <col min="821" max="821" width="9.140625" bestFit="1" customWidth="1"/>
    <col min="822" max="822" width="9.7109375" bestFit="1" customWidth="1"/>
    <col min="823" max="827" width="10.7109375" bestFit="1" customWidth="1"/>
    <col min="828" max="830" width="9.7109375" bestFit="1" customWidth="1"/>
    <col min="831" max="836" width="10.7109375" bestFit="1" customWidth="1"/>
    <col min="837" max="837" width="9.7109375" bestFit="1" customWidth="1"/>
    <col min="838" max="841" width="10.7109375" bestFit="1" customWidth="1"/>
    <col min="842" max="844" width="9.7109375" bestFit="1" customWidth="1"/>
    <col min="845" max="848" width="10.7109375" bestFit="1" customWidth="1"/>
    <col min="849" max="851" width="9.7109375" bestFit="1" customWidth="1"/>
    <col min="852" max="854" width="10.7109375" bestFit="1" customWidth="1"/>
    <col min="855" max="857" width="9.7109375" bestFit="1" customWidth="1"/>
    <col min="858" max="863" width="10.7109375" bestFit="1" customWidth="1"/>
    <col min="864" max="864" width="9.7109375" bestFit="1" customWidth="1"/>
    <col min="865" max="868" width="10.7109375" bestFit="1" customWidth="1"/>
    <col min="869" max="871" width="9.7109375" bestFit="1" customWidth="1"/>
    <col min="872" max="874" width="10.7109375" bestFit="1" customWidth="1"/>
    <col min="875" max="877" width="9.7109375" bestFit="1" customWidth="1"/>
    <col min="878" max="885" width="10.7109375" bestFit="1" customWidth="1"/>
    <col min="886" max="888" width="9.7109375" bestFit="1" customWidth="1"/>
    <col min="889" max="897" width="10.7109375" bestFit="1" customWidth="1"/>
    <col min="898" max="898" width="8.42578125" bestFit="1" customWidth="1"/>
    <col min="899" max="899" width="12.5703125" bestFit="1" customWidth="1"/>
  </cols>
  <sheetData>
    <row r="3" spans="1:14" x14ac:dyDescent="0.25">
      <c r="A3" s="31" t="s">
        <v>1379</v>
      </c>
      <c r="B3" s="31" t="s">
        <v>1375</v>
      </c>
    </row>
    <row r="4" spans="1:14" x14ac:dyDescent="0.25">
      <c r="A4" s="31" t="s">
        <v>1348</v>
      </c>
      <c r="B4" t="s">
        <v>1352</v>
      </c>
      <c r="C4" t="s">
        <v>1353</v>
      </c>
      <c r="D4" t="s">
        <v>1354</v>
      </c>
      <c r="E4" t="s">
        <v>1355</v>
      </c>
      <c r="F4" t="s">
        <v>1356</v>
      </c>
      <c r="G4" t="s">
        <v>1357</v>
      </c>
      <c r="H4" t="s">
        <v>1358</v>
      </c>
      <c r="I4" t="s">
        <v>1359</v>
      </c>
      <c r="J4" t="s">
        <v>1360</v>
      </c>
      <c r="K4" t="s">
        <v>1361</v>
      </c>
      <c r="L4" t="s">
        <v>1362</v>
      </c>
      <c r="M4" t="s">
        <v>1363</v>
      </c>
      <c r="N4" t="s">
        <v>1349</v>
      </c>
    </row>
    <row r="5" spans="1:14" x14ac:dyDescent="0.25">
      <c r="A5" s="32" t="s">
        <v>27</v>
      </c>
      <c r="B5" s="3">
        <v>5</v>
      </c>
      <c r="C5" s="3">
        <v>3</v>
      </c>
      <c r="D5" s="3">
        <v>8</v>
      </c>
      <c r="E5" s="3">
        <v>6</v>
      </c>
      <c r="F5" s="3">
        <v>8</v>
      </c>
      <c r="G5" s="3">
        <v>4</v>
      </c>
      <c r="H5" s="3">
        <v>7</v>
      </c>
      <c r="I5" s="3">
        <v>3</v>
      </c>
      <c r="J5" s="3">
        <v>6</v>
      </c>
      <c r="K5" s="3">
        <v>4</v>
      </c>
      <c r="L5" s="3">
        <v>6</v>
      </c>
      <c r="M5" s="3">
        <v>5</v>
      </c>
      <c r="N5" s="3">
        <v>65</v>
      </c>
    </row>
    <row r="6" spans="1:14" x14ac:dyDescent="0.25">
      <c r="A6" s="32" t="s">
        <v>54</v>
      </c>
      <c r="B6" s="3">
        <v>6</v>
      </c>
      <c r="C6" s="3">
        <v>9</v>
      </c>
      <c r="D6" s="3">
        <v>3</v>
      </c>
      <c r="E6" s="3">
        <v>4</v>
      </c>
      <c r="F6" s="3">
        <v>9</v>
      </c>
      <c r="G6" s="3">
        <v>4</v>
      </c>
      <c r="H6" s="3">
        <v>2</v>
      </c>
      <c r="I6" s="3">
        <v>6</v>
      </c>
      <c r="J6" s="3">
        <v>10</v>
      </c>
      <c r="K6" s="3">
        <v>8</v>
      </c>
      <c r="L6" s="3">
        <v>7</v>
      </c>
      <c r="M6" s="3">
        <v>10</v>
      </c>
      <c r="N6" s="3">
        <v>78</v>
      </c>
    </row>
    <row r="7" spans="1:14" x14ac:dyDescent="0.25">
      <c r="A7" s="32" t="s">
        <v>79</v>
      </c>
      <c r="B7" s="3">
        <v>6</v>
      </c>
      <c r="C7" s="3">
        <v>5</v>
      </c>
      <c r="D7" s="3">
        <v>5</v>
      </c>
      <c r="E7" s="3">
        <v>4</v>
      </c>
      <c r="F7" s="3">
        <v>8</v>
      </c>
      <c r="G7" s="3">
        <v>8</v>
      </c>
      <c r="H7" s="3">
        <v>9</v>
      </c>
      <c r="I7" s="3">
        <v>4</v>
      </c>
      <c r="J7" s="3">
        <v>5</v>
      </c>
      <c r="K7" s="3">
        <v>8</v>
      </c>
      <c r="L7" s="3">
        <v>9</v>
      </c>
      <c r="M7" s="3">
        <v>2</v>
      </c>
      <c r="N7" s="3">
        <v>73</v>
      </c>
    </row>
    <row r="8" spans="1:14" x14ac:dyDescent="0.25">
      <c r="A8" s="32" t="s">
        <v>42</v>
      </c>
      <c r="B8" s="3">
        <v>5</v>
      </c>
      <c r="C8" s="3">
        <v>5</v>
      </c>
      <c r="D8" s="3">
        <v>9</v>
      </c>
      <c r="E8" s="3">
        <v>5</v>
      </c>
      <c r="F8" s="3">
        <v>3</v>
      </c>
      <c r="G8" s="3">
        <v>7</v>
      </c>
      <c r="H8" s="3">
        <v>7</v>
      </c>
      <c r="I8" s="3">
        <v>4</v>
      </c>
      <c r="J8" s="3">
        <v>7</v>
      </c>
      <c r="K8" s="3">
        <v>7</v>
      </c>
      <c r="L8" s="3">
        <v>9</v>
      </c>
      <c r="M8" s="3">
        <v>8</v>
      </c>
      <c r="N8" s="3">
        <v>76</v>
      </c>
    </row>
    <row r="9" spans="1:14" x14ac:dyDescent="0.25">
      <c r="A9" s="32" t="s">
        <v>31</v>
      </c>
      <c r="B9" s="3">
        <v>8</v>
      </c>
      <c r="C9" s="3">
        <v>4</v>
      </c>
      <c r="D9" s="3">
        <v>8</v>
      </c>
      <c r="E9" s="3">
        <v>6</v>
      </c>
      <c r="F9" s="3">
        <v>14</v>
      </c>
      <c r="G9" s="3">
        <v>6</v>
      </c>
      <c r="H9" s="3">
        <v>5</v>
      </c>
      <c r="I9" s="3">
        <v>4</v>
      </c>
      <c r="J9" s="3">
        <v>6</v>
      </c>
      <c r="K9" s="3">
        <v>5</v>
      </c>
      <c r="L9" s="3">
        <v>5</v>
      </c>
      <c r="M9" s="3">
        <v>8</v>
      </c>
      <c r="N9" s="3">
        <v>79</v>
      </c>
    </row>
    <row r="10" spans="1:14" x14ac:dyDescent="0.25">
      <c r="A10" s="32" t="s">
        <v>45</v>
      </c>
      <c r="B10" s="3">
        <v>9</v>
      </c>
      <c r="C10" s="3">
        <v>5</v>
      </c>
      <c r="D10" s="3">
        <v>4</v>
      </c>
      <c r="E10" s="3">
        <v>9</v>
      </c>
      <c r="F10" s="3">
        <v>5</v>
      </c>
      <c r="G10" s="3">
        <v>10</v>
      </c>
      <c r="H10" s="3">
        <v>5</v>
      </c>
      <c r="I10" s="3">
        <v>11</v>
      </c>
      <c r="J10" s="3">
        <v>8</v>
      </c>
      <c r="K10" s="3">
        <v>9</v>
      </c>
      <c r="L10" s="3">
        <v>7</v>
      </c>
      <c r="M10" s="3">
        <v>8</v>
      </c>
      <c r="N10" s="3">
        <v>90</v>
      </c>
    </row>
    <row r="11" spans="1:14" x14ac:dyDescent="0.25">
      <c r="A11" s="32" t="s">
        <v>51</v>
      </c>
      <c r="B11" s="3">
        <v>12</v>
      </c>
      <c r="C11" s="3">
        <v>10</v>
      </c>
      <c r="D11" s="3">
        <v>10</v>
      </c>
      <c r="E11" s="3">
        <v>5</v>
      </c>
      <c r="F11" s="3">
        <v>5</v>
      </c>
      <c r="G11" s="3">
        <v>8</v>
      </c>
      <c r="H11" s="3">
        <v>11</v>
      </c>
      <c r="I11" s="3">
        <v>10</v>
      </c>
      <c r="J11" s="3">
        <v>10</v>
      </c>
      <c r="K11" s="3">
        <v>9</v>
      </c>
      <c r="L11" s="3">
        <v>6</v>
      </c>
      <c r="M11" s="3">
        <v>7</v>
      </c>
      <c r="N11" s="3">
        <v>103</v>
      </c>
    </row>
    <row r="12" spans="1:14" x14ac:dyDescent="0.25">
      <c r="A12" s="32" t="s">
        <v>35</v>
      </c>
      <c r="B12" s="3">
        <v>11</v>
      </c>
      <c r="C12" s="3">
        <v>5</v>
      </c>
      <c r="D12" s="3">
        <v>7</v>
      </c>
      <c r="E12" s="3">
        <v>5</v>
      </c>
      <c r="F12" s="3">
        <v>15</v>
      </c>
      <c r="G12" s="3">
        <v>7</v>
      </c>
      <c r="H12" s="3">
        <v>5</v>
      </c>
      <c r="I12" s="3">
        <v>10</v>
      </c>
      <c r="J12" s="3">
        <v>4</v>
      </c>
      <c r="K12" s="3">
        <v>11</v>
      </c>
      <c r="L12" s="3">
        <v>6</v>
      </c>
      <c r="M12" s="3">
        <v>7</v>
      </c>
      <c r="N12" s="3">
        <v>93</v>
      </c>
    </row>
    <row r="13" spans="1:14" x14ac:dyDescent="0.25">
      <c r="A13" s="32" t="s">
        <v>19</v>
      </c>
      <c r="B13" s="3">
        <v>9</v>
      </c>
      <c r="C13" s="3">
        <v>5</v>
      </c>
      <c r="D13" s="3">
        <v>4</v>
      </c>
      <c r="E13" s="3">
        <v>6</v>
      </c>
      <c r="F13" s="3">
        <v>9</v>
      </c>
      <c r="G13" s="3">
        <v>10</v>
      </c>
      <c r="H13" s="3">
        <v>9</v>
      </c>
      <c r="I13" s="3">
        <v>6</v>
      </c>
      <c r="J13" s="3">
        <v>8</v>
      </c>
      <c r="K13" s="3">
        <v>8</v>
      </c>
      <c r="L13" s="3">
        <v>7</v>
      </c>
      <c r="M13" s="3">
        <v>7</v>
      </c>
      <c r="N13" s="3">
        <v>88</v>
      </c>
    </row>
    <row r="14" spans="1:14" x14ac:dyDescent="0.25">
      <c r="A14" s="32" t="s">
        <v>38</v>
      </c>
      <c r="B14" s="3">
        <v>8</v>
      </c>
      <c r="C14" s="3">
        <v>6</v>
      </c>
      <c r="D14" s="3">
        <v>4</v>
      </c>
      <c r="E14" s="3">
        <v>5</v>
      </c>
      <c r="F14" s="3">
        <v>14</v>
      </c>
      <c r="G14" s="3">
        <v>5</v>
      </c>
      <c r="H14" s="3">
        <v>4</v>
      </c>
      <c r="I14" s="3">
        <v>10</v>
      </c>
      <c r="J14" s="3">
        <v>11</v>
      </c>
      <c r="K14" s="3">
        <v>9</v>
      </c>
      <c r="L14" s="3">
        <v>2</v>
      </c>
      <c r="M14" s="3">
        <v>7</v>
      </c>
      <c r="N14" s="3">
        <v>85</v>
      </c>
    </row>
    <row r="15" spans="1:14" x14ac:dyDescent="0.25">
      <c r="A15" s="32" t="s">
        <v>48</v>
      </c>
      <c r="B15" s="3">
        <v>8</v>
      </c>
      <c r="C15" s="3">
        <v>4</v>
      </c>
      <c r="D15" s="3">
        <v>5</v>
      </c>
      <c r="E15" s="3">
        <v>10</v>
      </c>
      <c r="F15" s="3">
        <v>6</v>
      </c>
      <c r="G15" s="3">
        <v>11</v>
      </c>
      <c r="H15" s="3">
        <v>5</v>
      </c>
      <c r="I15" s="3">
        <v>8</v>
      </c>
      <c r="J15" s="3">
        <v>6</v>
      </c>
      <c r="K15" s="3">
        <v>13</v>
      </c>
      <c r="L15" s="3">
        <v>6</v>
      </c>
      <c r="M15" s="3">
        <v>6</v>
      </c>
      <c r="N15" s="3">
        <v>88</v>
      </c>
    </row>
    <row r="16" spans="1:14" x14ac:dyDescent="0.25">
      <c r="A16" s="32" t="s">
        <v>81</v>
      </c>
      <c r="B16" s="3">
        <v>5</v>
      </c>
      <c r="C16" s="3">
        <v>11</v>
      </c>
      <c r="D16" s="3">
        <v>6</v>
      </c>
      <c r="E16" s="3">
        <v>12</v>
      </c>
      <c r="F16" s="3">
        <v>10</v>
      </c>
      <c r="G16" s="3">
        <v>4</v>
      </c>
      <c r="H16" s="3">
        <v>2</v>
      </c>
      <c r="I16" s="3">
        <v>8</v>
      </c>
      <c r="J16" s="3">
        <v>7</v>
      </c>
      <c r="K16" s="3">
        <v>8</v>
      </c>
      <c r="L16" s="3">
        <v>2</v>
      </c>
      <c r="M16" s="3">
        <v>7</v>
      </c>
      <c r="N16" s="3">
        <v>82</v>
      </c>
    </row>
    <row r="17" spans="1:14" x14ac:dyDescent="0.25">
      <c r="A17" s="32" t="s">
        <v>1349</v>
      </c>
      <c r="B17" s="3">
        <v>92</v>
      </c>
      <c r="C17" s="3">
        <v>72</v>
      </c>
      <c r="D17" s="3">
        <v>73</v>
      </c>
      <c r="E17" s="3">
        <v>77</v>
      </c>
      <c r="F17" s="3">
        <v>106</v>
      </c>
      <c r="G17" s="3">
        <v>84</v>
      </c>
      <c r="H17" s="3">
        <v>71</v>
      </c>
      <c r="I17" s="3">
        <v>84</v>
      </c>
      <c r="J17" s="3">
        <v>88</v>
      </c>
      <c r="K17" s="3">
        <v>99</v>
      </c>
      <c r="L17" s="3">
        <v>72</v>
      </c>
      <c r="M17" s="3">
        <v>82</v>
      </c>
      <c r="N17" s="3">
        <v>1000</v>
      </c>
    </row>
    <row r="21" spans="1:14" x14ac:dyDescent="0.25">
      <c r="A21">
        <v>2015</v>
      </c>
      <c r="B21">
        <v>88</v>
      </c>
      <c r="I21" s="32"/>
    </row>
    <row r="22" spans="1:14" x14ac:dyDescent="0.25">
      <c r="A22">
        <v>2016</v>
      </c>
      <c r="B22">
        <v>87</v>
      </c>
      <c r="C22" s="37">
        <f>(B22-B21)/B21</f>
        <v>-1.1363636363636364E-2</v>
      </c>
      <c r="I22" s="32"/>
    </row>
    <row r="23" spans="1:14" x14ac:dyDescent="0.25">
      <c r="A23">
        <v>2017</v>
      </c>
      <c r="B23">
        <v>95</v>
      </c>
      <c r="C23" s="37">
        <f t="shared" ref="C23:C30" si="0">(B23-B22)/B22</f>
        <v>9.1954022988505746E-2</v>
      </c>
      <c r="I23" s="32"/>
    </row>
    <row r="24" spans="1:14" x14ac:dyDescent="0.25">
      <c r="A24">
        <v>2018</v>
      </c>
      <c r="B24">
        <v>89</v>
      </c>
      <c r="C24" s="37">
        <f t="shared" si="0"/>
        <v>-6.3157894736842107E-2</v>
      </c>
      <c r="I24" s="32"/>
    </row>
    <row r="25" spans="1:14" x14ac:dyDescent="0.25">
      <c r="A25">
        <v>2019</v>
      </c>
      <c r="B25">
        <v>121</v>
      </c>
      <c r="C25" s="37">
        <f t="shared" si="0"/>
        <v>0.3595505617977528</v>
      </c>
      <c r="I25" s="32"/>
    </row>
    <row r="26" spans="1:14" x14ac:dyDescent="0.25">
      <c r="A26">
        <v>2020</v>
      </c>
      <c r="B26">
        <v>98</v>
      </c>
      <c r="C26" s="37">
        <f t="shared" si="0"/>
        <v>-0.19008264462809918</v>
      </c>
      <c r="I26" s="32"/>
    </row>
    <row r="27" spans="1:14" x14ac:dyDescent="0.25">
      <c r="A27">
        <v>2021</v>
      </c>
      <c r="B27">
        <v>103</v>
      </c>
      <c r="C27" s="37">
        <f t="shared" si="0"/>
        <v>5.1020408163265307E-2</v>
      </c>
      <c r="I27" s="32"/>
    </row>
    <row r="28" spans="1:14" x14ac:dyDescent="0.25">
      <c r="A28">
        <v>2022</v>
      </c>
      <c r="B28">
        <v>93</v>
      </c>
      <c r="C28" s="37">
        <f t="shared" si="0"/>
        <v>-9.7087378640776698E-2</v>
      </c>
      <c r="I28" s="32"/>
    </row>
    <row r="29" spans="1:14" x14ac:dyDescent="0.25">
      <c r="A29">
        <v>2023</v>
      </c>
      <c r="B29">
        <v>115</v>
      </c>
      <c r="C29" s="37">
        <f t="shared" si="0"/>
        <v>0.23655913978494625</v>
      </c>
      <c r="I29" s="32"/>
    </row>
    <row r="30" spans="1:14" x14ac:dyDescent="0.25">
      <c r="A30">
        <v>2024</v>
      </c>
      <c r="B30">
        <v>111</v>
      </c>
      <c r="C30" s="37">
        <f t="shared" si="0"/>
        <v>-3.4782608695652174E-2</v>
      </c>
      <c r="I30" s="32"/>
    </row>
    <row r="31" spans="1:14" x14ac:dyDescent="0.25">
      <c r="I31" s="32"/>
    </row>
    <row r="32" spans="1:14" x14ac:dyDescent="0.25">
      <c r="A32" t="s">
        <v>1424</v>
      </c>
      <c r="E32" s="41">
        <f>((A30/A21)^(1/9))-1</f>
        <v>4.9529551017601925E-4</v>
      </c>
      <c r="I32" s="32"/>
    </row>
    <row r="34" spans="1:7" x14ac:dyDescent="0.25">
      <c r="A34" t="s">
        <v>1425</v>
      </c>
      <c r="C34" s="41">
        <f>(B30 - B21) / B21</f>
        <v>0.26136363636363635</v>
      </c>
    </row>
    <row r="35" spans="1:7" x14ac:dyDescent="0.25">
      <c r="C35" s="37"/>
    </row>
    <row r="36" spans="1:7" x14ac:dyDescent="0.25">
      <c r="G36" s="37"/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2D824-30B8-4E0C-B3C6-C8474CA627A3}">
  <dimension ref="A1:O14"/>
  <sheetViews>
    <sheetView workbookViewId="0">
      <selection activeCell="R14" sqref="R14"/>
    </sheetView>
  </sheetViews>
  <sheetFormatPr baseColWidth="10" defaultRowHeight="15" x14ac:dyDescent="0.25"/>
  <cols>
    <col min="1" max="1" width="23" bestFit="1" customWidth="1"/>
    <col min="2" max="2" width="22.42578125" bestFit="1" customWidth="1"/>
    <col min="3" max="3" width="10.7109375" bestFit="1" customWidth="1"/>
    <col min="4" max="4" width="17.7109375" bestFit="1" customWidth="1"/>
    <col min="5" max="5" width="7.140625" bestFit="1" customWidth="1"/>
    <col min="6" max="6" width="10" bestFit="1" customWidth="1"/>
    <col min="7" max="7" width="6" bestFit="1" customWidth="1"/>
    <col min="8" max="8" width="11.85546875" bestFit="1" customWidth="1"/>
    <col min="9" max="9" width="5.5703125" bestFit="1" customWidth="1"/>
    <col min="10" max="10" width="9.7109375" bestFit="1" customWidth="1"/>
    <col min="11" max="11" width="11.42578125" bestFit="1" customWidth="1"/>
    <col min="12" max="12" width="9.28515625" bestFit="1" customWidth="1"/>
    <col min="13" max="13" width="18.85546875" bestFit="1" customWidth="1"/>
    <col min="14" max="14" width="11" bestFit="1" customWidth="1"/>
    <col min="15" max="15" width="12.5703125" bestFit="1" customWidth="1"/>
    <col min="16" max="16" width="17.7109375" bestFit="1" customWidth="1"/>
    <col min="17" max="17" width="7.140625" bestFit="1" customWidth="1"/>
    <col min="18" max="18" width="10" bestFit="1" customWidth="1"/>
    <col min="19" max="19" width="6" bestFit="1" customWidth="1"/>
    <col min="20" max="20" width="11.85546875" bestFit="1" customWidth="1"/>
    <col min="21" max="21" width="5.5703125" bestFit="1" customWidth="1"/>
    <col min="22" max="22" width="9.7109375" bestFit="1" customWidth="1"/>
    <col min="23" max="23" width="11.42578125" bestFit="1" customWidth="1"/>
    <col min="24" max="24" width="9.28515625" bestFit="1" customWidth="1"/>
    <col min="25" max="25" width="18.85546875" bestFit="1" customWidth="1"/>
    <col min="26" max="26" width="10" bestFit="1" customWidth="1"/>
    <col min="27" max="27" width="10.7109375" bestFit="1" customWidth="1"/>
    <col min="28" max="28" width="17.7109375" bestFit="1" customWidth="1"/>
    <col min="29" max="29" width="7.140625" bestFit="1" customWidth="1"/>
    <col min="30" max="30" width="10" bestFit="1" customWidth="1"/>
    <col min="31" max="31" width="6" bestFit="1" customWidth="1"/>
    <col min="32" max="32" width="11.85546875" bestFit="1" customWidth="1"/>
    <col min="33" max="33" width="5.5703125" bestFit="1" customWidth="1"/>
    <col min="34" max="34" width="9.7109375" bestFit="1" customWidth="1"/>
    <col min="35" max="35" width="11.42578125" bestFit="1" customWidth="1"/>
    <col min="36" max="36" width="9.28515625" bestFit="1" customWidth="1"/>
    <col min="37" max="37" width="18.85546875" bestFit="1" customWidth="1"/>
    <col min="38" max="38" width="11.5703125" bestFit="1" customWidth="1"/>
    <col min="39" max="39" width="10.7109375" bestFit="1" customWidth="1"/>
    <col min="40" max="40" width="17.7109375" bestFit="1" customWidth="1"/>
    <col min="41" max="41" width="7.140625" bestFit="1" customWidth="1"/>
    <col min="42" max="42" width="10" bestFit="1" customWidth="1"/>
    <col min="43" max="43" width="6" bestFit="1" customWidth="1"/>
    <col min="44" max="44" width="11.85546875" bestFit="1" customWidth="1"/>
    <col min="45" max="45" width="5.5703125" bestFit="1" customWidth="1"/>
    <col min="46" max="46" width="9.7109375" bestFit="1" customWidth="1"/>
    <col min="47" max="47" width="11.42578125" bestFit="1" customWidth="1"/>
    <col min="48" max="48" width="9.28515625" bestFit="1" customWidth="1"/>
    <col min="49" max="49" width="18.85546875" bestFit="1" customWidth="1"/>
    <col min="50" max="50" width="10" bestFit="1" customWidth="1"/>
    <col min="51" max="51" width="10.7109375" bestFit="1" customWidth="1"/>
    <col min="52" max="52" width="17.7109375" bestFit="1" customWidth="1"/>
    <col min="53" max="53" width="7.140625" bestFit="1" customWidth="1"/>
    <col min="54" max="54" width="10" bestFit="1" customWidth="1"/>
    <col min="55" max="55" width="6" bestFit="1" customWidth="1"/>
    <col min="56" max="56" width="11.85546875" bestFit="1" customWidth="1"/>
    <col min="57" max="57" width="5.5703125" bestFit="1" customWidth="1"/>
    <col min="58" max="58" width="9.7109375" bestFit="1" customWidth="1"/>
    <col min="59" max="59" width="11.42578125" bestFit="1" customWidth="1"/>
    <col min="60" max="60" width="9.28515625" bestFit="1" customWidth="1"/>
    <col min="61" max="61" width="18.85546875" bestFit="1" customWidth="1"/>
    <col min="62" max="62" width="10" bestFit="1" customWidth="1"/>
    <col min="63" max="63" width="10.7109375" bestFit="1" customWidth="1"/>
    <col min="64" max="64" width="17.7109375" bestFit="1" customWidth="1"/>
    <col min="65" max="65" width="7.140625" bestFit="1" customWidth="1"/>
    <col min="66" max="66" width="10" bestFit="1" customWidth="1"/>
    <col min="67" max="67" width="6" bestFit="1" customWidth="1"/>
    <col min="68" max="68" width="11.85546875" bestFit="1" customWidth="1"/>
    <col min="69" max="69" width="5.5703125" bestFit="1" customWidth="1"/>
    <col min="70" max="70" width="9.7109375" bestFit="1" customWidth="1"/>
    <col min="71" max="71" width="11.42578125" bestFit="1" customWidth="1"/>
    <col min="72" max="72" width="9.28515625" bestFit="1" customWidth="1"/>
    <col min="73" max="73" width="18.85546875" bestFit="1" customWidth="1"/>
    <col min="74" max="74" width="10" bestFit="1" customWidth="1"/>
    <col min="75" max="75" width="10.7109375" bestFit="1" customWidth="1"/>
    <col min="76" max="76" width="17.7109375" bestFit="1" customWidth="1"/>
    <col min="77" max="77" width="7.140625" bestFit="1" customWidth="1"/>
    <col min="78" max="78" width="10" bestFit="1" customWidth="1"/>
    <col min="79" max="79" width="6" bestFit="1" customWidth="1"/>
    <col min="80" max="80" width="11.85546875" bestFit="1" customWidth="1"/>
    <col min="81" max="81" width="5.5703125" bestFit="1" customWidth="1"/>
    <col min="82" max="82" width="9.7109375" bestFit="1" customWidth="1"/>
    <col min="83" max="83" width="11.42578125" bestFit="1" customWidth="1"/>
    <col min="84" max="84" width="9.28515625" bestFit="1" customWidth="1"/>
    <col min="85" max="85" width="18.85546875" bestFit="1" customWidth="1"/>
    <col min="86" max="86" width="12.5703125" bestFit="1" customWidth="1"/>
    <col min="87" max="88" width="7.140625" bestFit="1" customWidth="1"/>
    <col min="89" max="96" width="5.5703125" bestFit="1" customWidth="1"/>
    <col min="97" max="116" width="6.5703125" bestFit="1" customWidth="1"/>
    <col min="117" max="124" width="6.42578125" bestFit="1" customWidth="1"/>
    <col min="125" max="146" width="7.42578125" bestFit="1" customWidth="1"/>
    <col min="147" max="155" width="5.5703125" bestFit="1" customWidth="1"/>
    <col min="156" max="175" width="6.5703125" bestFit="1" customWidth="1"/>
    <col min="176" max="184" width="5" bestFit="1" customWidth="1"/>
    <col min="185" max="204" width="6" bestFit="1" customWidth="1"/>
    <col min="205" max="212" width="5.85546875" bestFit="1" customWidth="1"/>
    <col min="213" max="234" width="6.85546875" bestFit="1" customWidth="1"/>
    <col min="235" max="243" width="5.85546875" bestFit="1" customWidth="1"/>
    <col min="244" max="261" width="6.85546875" bestFit="1" customWidth="1"/>
    <col min="262" max="270" width="5.42578125" bestFit="1" customWidth="1"/>
    <col min="271" max="291" width="6.42578125" bestFit="1" customWidth="1"/>
    <col min="292" max="299" width="6" bestFit="1" customWidth="1"/>
    <col min="300" max="316" width="7" bestFit="1" customWidth="1"/>
    <col min="317" max="324" width="5.28515625" bestFit="1" customWidth="1"/>
    <col min="325" max="344" width="6.28515625" bestFit="1" customWidth="1"/>
    <col min="345" max="345" width="12.5703125" bestFit="1" customWidth="1"/>
    <col min="346" max="346" width="8.7109375" bestFit="1" customWidth="1"/>
    <col min="347" max="353" width="9.7109375" bestFit="1" customWidth="1"/>
    <col min="354" max="358" width="8.7109375" bestFit="1" customWidth="1"/>
    <col min="359" max="364" width="9.7109375" bestFit="1" customWidth="1"/>
    <col min="365" max="366" width="8.7109375" bestFit="1" customWidth="1"/>
    <col min="367" max="372" width="9.7109375" bestFit="1" customWidth="1"/>
    <col min="373" max="376" width="8.7109375" bestFit="1" customWidth="1"/>
    <col min="377" max="381" width="9.7109375" bestFit="1" customWidth="1"/>
    <col min="382" max="386" width="8.7109375" bestFit="1" customWidth="1"/>
    <col min="387" max="394" width="9.7109375" bestFit="1" customWidth="1"/>
    <col min="395" max="398" width="8.7109375" bestFit="1" customWidth="1"/>
    <col min="399" max="409" width="9.7109375" bestFit="1" customWidth="1"/>
    <col min="410" max="416" width="10.7109375" bestFit="1" customWidth="1"/>
    <col min="417" max="418" width="9.7109375" bestFit="1" customWidth="1"/>
    <col min="419" max="424" width="10.7109375" bestFit="1" customWidth="1"/>
    <col min="425" max="427" width="9.7109375" bestFit="1" customWidth="1"/>
    <col min="428" max="430" width="10.7109375" bestFit="1" customWidth="1"/>
    <col min="431" max="432" width="8.7109375" bestFit="1" customWidth="1"/>
    <col min="433" max="439" width="9.7109375" bestFit="1" customWidth="1"/>
    <col min="440" max="441" width="8.7109375" bestFit="1" customWidth="1"/>
    <col min="442" max="446" width="9.7109375" bestFit="1" customWidth="1"/>
    <col min="447" max="448" width="8.7109375" bestFit="1" customWidth="1"/>
    <col min="449" max="452" width="9.7109375" bestFit="1" customWidth="1"/>
    <col min="453" max="453" width="8.7109375" bestFit="1" customWidth="1"/>
    <col min="454" max="455" width="9.7109375" bestFit="1" customWidth="1"/>
    <col min="456" max="458" width="8.7109375" bestFit="1" customWidth="1"/>
    <col min="459" max="466" width="9.7109375" bestFit="1" customWidth="1"/>
    <col min="467" max="470" width="8.7109375" bestFit="1" customWidth="1"/>
    <col min="471" max="474" width="9.7109375" bestFit="1" customWidth="1"/>
    <col min="475" max="477" width="8.7109375" bestFit="1" customWidth="1"/>
    <col min="478" max="481" width="9.7109375" bestFit="1" customWidth="1"/>
    <col min="482" max="483" width="8.7109375" bestFit="1" customWidth="1"/>
    <col min="484" max="488" width="9.7109375" bestFit="1" customWidth="1"/>
    <col min="489" max="490" width="8.7109375" bestFit="1" customWidth="1"/>
    <col min="491" max="492" width="9.7109375" bestFit="1" customWidth="1"/>
    <col min="493" max="500" width="10.7109375" bestFit="1" customWidth="1"/>
    <col min="501" max="504" width="9.7109375" bestFit="1" customWidth="1"/>
    <col min="505" max="509" width="10.7109375" bestFit="1" customWidth="1"/>
    <col min="510" max="512" width="9.7109375" bestFit="1" customWidth="1"/>
    <col min="513" max="518" width="10.7109375" bestFit="1" customWidth="1"/>
    <col min="519" max="521" width="8.7109375" bestFit="1" customWidth="1"/>
    <col min="522" max="526" width="9.7109375" bestFit="1" customWidth="1"/>
    <col min="527" max="528" width="8.7109375" bestFit="1" customWidth="1"/>
    <col min="529" max="532" width="9.7109375" bestFit="1" customWidth="1"/>
    <col min="533" max="533" width="8.7109375" bestFit="1" customWidth="1"/>
    <col min="534" max="537" width="9.7109375" bestFit="1" customWidth="1"/>
    <col min="538" max="538" width="8.7109375" bestFit="1" customWidth="1"/>
    <col min="539" max="543" width="9.7109375" bestFit="1" customWidth="1"/>
    <col min="544" max="544" width="8.7109375" bestFit="1" customWidth="1"/>
    <col min="545" max="551" width="9.7109375" bestFit="1" customWidth="1"/>
    <col min="552" max="555" width="8.7109375" bestFit="1" customWidth="1"/>
    <col min="556" max="561" width="9.7109375" bestFit="1" customWidth="1"/>
    <col min="562" max="562" width="8.7109375" bestFit="1" customWidth="1"/>
    <col min="563" max="567" width="9.7109375" bestFit="1" customWidth="1"/>
    <col min="568" max="571" width="8.7109375" bestFit="1" customWidth="1"/>
    <col min="572" max="579" width="9.7109375" bestFit="1" customWidth="1"/>
    <col min="580" max="584" width="8.7109375" bestFit="1" customWidth="1"/>
    <col min="585" max="591" width="9.7109375" bestFit="1" customWidth="1"/>
    <col min="592" max="598" width="10.7109375" bestFit="1" customWidth="1"/>
    <col min="599" max="600" width="9.7109375" bestFit="1" customWidth="1"/>
    <col min="601" max="602" width="10.7109375" bestFit="1" customWidth="1"/>
    <col min="603" max="603" width="9.7109375" bestFit="1" customWidth="1"/>
    <col min="604" max="607" width="10.7109375" bestFit="1" customWidth="1"/>
    <col min="608" max="609" width="8.7109375" bestFit="1" customWidth="1"/>
    <col min="610" max="614" width="9.7109375" bestFit="1" customWidth="1"/>
    <col min="615" max="616" width="8.7109375" bestFit="1" customWidth="1"/>
    <col min="617" max="622" width="9.7109375" bestFit="1" customWidth="1"/>
    <col min="623" max="624" width="8.7109375" bestFit="1" customWidth="1"/>
    <col min="625" max="629" width="9.7109375" bestFit="1" customWidth="1"/>
    <col min="630" max="630" width="8.7109375" bestFit="1" customWidth="1"/>
    <col min="631" max="635" width="9.7109375" bestFit="1" customWidth="1"/>
    <col min="636" max="638" width="8.7109375" bestFit="1" customWidth="1"/>
    <col min="639" max="641" width="9.7109375" bestFit="1" customWidth="1"/>
    <col min="642" max="643" width="8.7109375" bestFit="1" customWidth="1"/>
    <col min="644" max="652" width="9.7109375" bestFit="1" customWidth="1"/>
    <col min="653" max="655" width="8.7109375" bestFit="1" customWidth="1"/>
    <col min="656" max="662" width="9.7109375" bestFit="1" customWidth="1"/>
    <col min="663" max="665" width="8.7109375" bestFit="1" customWidth="1"/>
    <col min="666" max="668" width="9.7109375" bestFit="1" customWidth="1"/>
    <col min="669" max="673" width="10.7109375" bestFit="1" customWidth="1"/>
    <col min="674" max="675" width="9.7109375" bestFit="1" customWidth="1"/>
    <col min="676" max="680" width="10.7109375" bestFit="1" customWidth="1"/>
    <col min="681" max="683" width="9.7109375" bestFit="1" customWidth="1"/>
    <col min="684" max="686" width="10.7109375" bestFit="1" customWidth="1"/>
    <col min="687" max="687" width="8.7109375" bestFit="1" customWidth="1"/>
    <col min="688" max="697" width="9.7109375" bestFit="1" customWidth="1"/>
    <col min="698" max="700" width="8.7109375" bestFit="1" customWidth="1"/>
    <col min="701" max="704" width="9.7109375" bestFit="1" customWidth="1"/>
    <col min="705" max="706" width="8.7109375" bestFit="1" customWidth="1"/>
    <col min="707" max="712" width="9.7109375" bestFit="1" customWidth="1"/>
    <col min="713" max="714" width="8.7109375" bestFit="1" customWidth="1"/>
    <col min="715" max="717" width="9.7109375" bestFit="1" customWidth="1"/>
    <col min="718" max="718" width="8.7109375" bestFit="1" customWidth="1"/>
    <col min="719" max="732" width="9.7109375" bestFit="1" customWidth="1"/>
    <col min="733" max="735" width="8.7109375" bestFit="1" customWidth="1"/>
    <col min="736" max="741" width="9.7109375" bestFit="1" customWidth="1"/>
    <col min="742" max="743" width="8.7109375" bestFit="1" customWidth="1"/>
    <col min="744" max="750" width="9.7109375" bestFit="1" customWidth="1"/>
    <col min="751" max="751" width="8.7109375" bestFit="1" customWidth="1"/>
    <col min="752" max="760" width="9.7109375" bestFit="1" customWidth="1"/>
    <col min="761" max="767" width="10.7109375" bestFit="1" customWidth="1"/>
    <col min="768" max="769" width="9.7109375" bestFit="1" customWidth="1"/>
    <col min="770" max="776" width="10.7109375" bestFit="1" customWidth="1"/>
    <col min="777" max="779" width="9.7109375" bestFit="1" customWidth="1"/>
    <col min="780" max="787" width="10.7109375" bestFit="1" customWidth="1"/>
    <col min="788" max="791" width="8.7109375" bestFit="1" customWidth="1"/>
    <col min="792" max="798" width="9.7109375" bestFit="1" customWidth="1"/>
    <col min="799" max="799" width="8.7109375" bestFit="1" customWidth="1"/>
    <col min="800" max="800" width="9.7109375" bestFit="1" customWidth="1"/>
    <col min="801" max="804" width="8.7109375" bestFit="1" customWidth="1"/>
    <col min="805" max="809" width="9.7109375" bestFit="1" customWidth="1"/>
    <col min="810" max="813" width="8.7109375" bestFit="1" customWidth="1"/>
    <col min="814" max="820" width="9.7109375" bestFit="1" customWidth="1"/>
    <col min="821" max="823" width="8.7109375" bestFit="1" customWidth="1"/>
    <col min="824" max="830" width="9.7109375" bestFit="1" customWidth="1"/>
    <col min="831" max="832" width="8.7109375" bestFit="1" customWidth="1"/>
    <col min="833" max="838" width="9.7109375" bestFit="1" customWidth="1"/>
    <col min="839" max="840" width="8.7109375" bestFit="1" customWidth="1"/>
    <col min="841" max="845" width="9.7109375" bestFit="1" customWidth="1"/>
    <col min="846" max="846" width="8.7109375" bestFit="1" customWidth="1"/>
    <col min="847" max="855" width="9.7109375" bestFit="1" customWidth="1"/>
    <col min="856" max="862" width="10.7109375" bestFit="1" customWidth="1"/>
    <col min="863" max="865" width="9.7109375" bestFit="1" customWidth="1"/>
    <col min="866" max="874" width="10.7109375" bestFit="1" customWidth="1"/>
    <col min="875" max="877" width="9.7109375" bestFit="1" customWidth="1"/>
    <col min="878" max="886" width="10.7109375" bestFit="1" customWidth="1"/>
    <col min="887" max="887" width="11" bestFit="1" customWidth="1"/>
    <col min="888" max="888" width="12.5703125" bestFit="1" customWidth="1"/>
    <col min="889" max="889" width="14.5703125" bestFit="1" customWidth="1"/>
    <col min="890" max="890" width="11.5703125" bestFit="1" customWidth="1"/>
    <col min="891" max="891" width="14.5703125" bestFit="1" customWidth="1"/>
    <col min="892" max="892" width="10.5703125" bestFit="1" customWidth="1"/>
    <col min="893" max="893" width="13.5703125" bestFit="1" customWidth="1"/>
    <col min="894" max="894" width="10.5703125" bestFit="1" customWidth="1"/>
    <col min="895" max="895" width="13.5703125" bestFit="1" customWidth="1"/>
    <col min="896" max="896" width="11.5703125" bestFit="1" customWidth="1"/>
    <col min="897" max="897" width="14.5703125" bestFit="1" customWidth="1"/>
    <col min="898" max="898" width="11.5703125" bestFit="1" customWidth="1"/>
    <col min="899" max="899" width="14.5703125" bestFit="1" customWidth="1"/>
    <col min="900" max="900" width="11.5703125" bestFit="1" customWidth="1"/>
    <col min="901" max="901" width="14.5703125" bestFit="1" customWidth="1"/>
    <col min="902" max="902" width="11.5703125" bestFit="1" customWidth="1"/>
    <col min="903" max="903" width="14.5703125" bestFit="1" customWidth="1"/>
    <col min="904" max="904" width="10.5703125" bestFit="1" customWidth="1"/>
    <col min="905" max="905" width="13.5703125" bestFit="1" customWidth="1"/>
    <col min="906" max="906" width="11.5703125" bestFit="1" customWidth="1"/>
    <col min="907" max="907" width="14.5703125" bestFit="1" customWidth="1"/>
    <col min="908" max="908" width="11.5703125" bestFit="1" customWidth="1"/>
    <col min="909" max="909" width="14.5703125" bestFit="1" customWidth="1"/>
    <col min="910" max="910" width="10.5703125" bestFit="1" customWidth="1"/>
    <col min="911" max="911" width="13.5703125" bestFit="1" customWidth="1"/>
    <col min="912" max="912" width="10.5703125" bestFit="1" customWidth="1"/>
    <col min="913" max="913" width="13.5703125" bestFit="1" customWidth="1"/>
    <col min="914" max="914" width="10.5703125" bestFit="1" customWidth="1"/>
    <col min="915" max="915" width="13.5703125" bestFit="1" customWidth="1"/>
    <col min="916" max="916" width="11.5703125" bestFit="1" customWidth="1"/>
    <col min="917" max="917" width="14.5703125" bestFit="1" customWidth="1"/>
    <col min="918" max="918" width="11.5703125" bestFit="1" customWidth="1"/>
    <col min="919" max="919" width="14.5703125" bestFit="1" customWidth="1"/>
    <col min="920" max="920" width="11.5703125" bestFit="1" customWidth="1"/>
    <col min="921" max="921" width="14.5703125" bestFit="1" customWidth="1"/>
    <col min="922" max="922" width="11.5703125" bestFit="1" customWidth="1"/>
    <col min="923" max="923" width="14.5703125" bestFit="1" customWidth="1"/>
    <col min="924" max="924" width="11.5703125" bestFit="1" customWidth="1"/>
    <col min="925" max="925" width="14.5703125" bestFit="1" customWidth="1"/>
    <col min="926" max="926" width="11.5703125" bestFit="1" customWidth="1"/>
    <col min="927" max="927" width="14.5703125" bestFit="1" customWidth="1"/>
    <col min="928" max="928" width="11.5703125" bestFit="1" customWidth="1"/>
    <col min="929" max="929" width="14.5703125" bestFit="1" customWidth="1"/>
    <col min="930" max="930" width="11.5703125" bestFit="1" customWidth="1"/>
    <col min="931" max="931" width="14.5703125" bestFit="1" customWidth="1"/>
    <col min="932" max="932" width="10.5703125" bestFit="1" customWidth="1"/>
    <col min="933" max="933" width="13.5703125" bestFit="1" customWidth="1"/>
    <col min="934" max="934" width="10.5703125" bestFit="1" customWidth="1"/>
    <col min="935" max="935" width="13.5703125" bestFit="1" customWidth="1"/>
    <col min="936" max="936" width="10.5703125" bestFit="1" customWidth="1"/>
    <col min="937" max="937" width="13.5703125" bestFit="1" customWidth="1"/>
    <col min="938" max="938" width="10.5703125" bestFit="1" customWidth="1"/>
    <col min="939" max="939" width="13.5703125" bestFit="1" customWidth="1"/>
    <col min="940" max="940" width="11.5703125" bestFit="1" customWidth="1"/>
    <col min="941" max="941" width="14.5703125" bestFit="1" customWidth="1"/>
    <col min="942" max="942" width="11.5703125" bestFit="1" customWidth="1"/>
    <col min="943" max="943" width="14.5703125" bestFit="1" customWidth="1"/>
    <col min="944" max="944" width="11.5703125" bestFit="1" customWidth="1"/>
    <col min="945" max="945" width="14.5703125" bestFit="1" customWidth="1"/>
    <col min="946" max="946" width="11.5703125" bestFit="1" customWidth="1"/>
    <col min="947" max="947" width="14.5703125" bestFit="1" customWidth="1"/>
    <col min="948" max="948" width="10.5703125" bestFit="1" customWidth="1"/>
    <col min="949" max="949" width="13.5703125" bestFit="1" customWidth="1"/>
    <col min="950" max="950" width="10.5703125" bestFit="1" customWidth="1"/>
    <col min="951" max="951" width="13.5703125" bestFit="1" customWidth="1"/>
    <col min="952" max="952" width="10.5703125" bestFit="1" customWidth="1"/>
    <col min="953" max="953" width="13.5703125" bestFit="1" customWidth="1"/>
    <col min="954" max="954" width="11.5703125" bestFit="1" customWidth="1"/>
    <col min="955" max="955" width="14.5703125" bestFit="1" customWidth="1"/>
    <col min="956" max="956" width="11.5703125" bestFit="1" customWidth="1"/>
    <col min="957" max="957" width="14.5703125" bestFit="1" customWidth="1"/>
    <col min="958" max="958" width="11.5703125" bestFit="1" customWidth="1"/>
    <col min="959" max="959" width="14.5703125" bestFit="1" customWidth="1"/>
    <col min="960" max="960" width="11.5703125" bestFit="1" customWidth="1"/>
    <col min="961" max="961" width="14.5703125" bestFit="1" customWidth="1"/>
    <col min="962" max="962" width="10.5703125" bestFit="1" customWidth="1"/>
    <col min="963" max="963" width="13.5703125" bestFit="1" customWidth="1"/>
    <col min="964" max="964" width="10.5703125" bestFit="1" customWidth="1"/>
    <col min="965" max="965" width="13.5703125" bestFit="1" customWidth="1"/>
    <col min="966" max="966" width="11.5703125" bestFit="1" customWidth="1"/>
    <col min="967" max="967" width="14.5703125" bestFit="1" customWidth="1"/>
    <col min="968" max="968" width="11.5703125" bestFit="1" customWidth="1"/>
    <col min="969" max="969" width="14.5703125" bestFit="1" customWidth="1"/>
    <col min="970" max="970" width="11.5703125" bestFit="1" customWidth="1"/>
    <col min="971" max="971" width="14.5703125" bestFit="1" customWidth="1"/>
    <col min="972" max="972" width="11.5703125" bestFit="1" customWidth="1"/>
    <col min="973" max="973" width="14.5703125" bestFit="1" customWidth="1"/>
    <col min="974" max="974" width="11.5703125" bestFit="1" customWidth="1"/>
    <col min="975" max="975" width="14.5703125" bestFit="1" customWidth="1"/>
    <col min="976" max="976" width="10.5703125" bestFit="1" customWidth="1"/>
    <col min="977" max="977" width="13.5703125" bestFit="1" customWidth="1"/>
    <col min="978" max="978" width="10.5703125" bestFit="1" customWidth="1"/>
    <col min="979" max="979" width="13.5703125" bestFit="1" customWidth="1"/>
    <col min="980" max="980" width="11.5703125" bestFit="1" customWidth="1"/>
    <col min="981" max="981" width="14.5703125" bestFit="1" customWidth="1"/>
    <col min="982" max="982" width="11.5703125" bestFit="1" customWidth="1"/>
    <col min="983" max="983" width="14.5703125" bestFit="1" customWidth="1"/>
    <col min="984" max="984" width="12.5703125" bestFit="1" customWidth="1"/>
    <col min="985" max="985" width="15.5703125" bestFit="1" customWidth="1"/>
    <col min="986" max="986" width="12.5703125" bestFit="1" customWidth="1"/>
    <col min="987" max="987" width="15.5703125" bestFit="1" customWidth="1"/>
    <col min="988" max="988" width="12.5703125" bestFit="1" customWidth="1"/>
    <col min="989" max="989" width="15.5703125" bestFit="1" customWidth="1"/>
    <col min="990" max="990" width="12.5703125" bestFit="1" customWidth="1"/>
    <col min="991" max="991" width="15.5703125" bestFit="1" customWidth="1"/>
    <col min="992" max="992" width="12.5703125" bestFit="1" customWidth="1"/>
    <col min="993" max="993" width="15.5703125" bestFit="1" customWidth="1"/>
    <col min="994" max="994" width="12.5703125" bestFit="1" customWidth="1"/>
    <col min="995" max="995" width="15.5703125" bestFit="1" customWidth="1"/>
    <col min="996" max="996" width="12.5703125" bestFit="1" customWidth="1"/>
    <col min="997" max="997" width="15.5703125" bestFit="1" customWidth="1"/>
    <col min="998" max="998" width="12.5703125" bestFit="1" customWidth="1"/>
    <col min="999" max="999" width="15.5703125" bestFit="1" customWidth="1"/>
    <col min="1000" max="1000" width="11.5703125" bestFit="1" customWidth="1"/>
    <col min="1001" max="1001" width="14.5703125" bestFit="1" customWidth="1"/>
    <col min="1002" max="1002" width="11.5703125" bestFit="1" customWidth="1"/>
    <col min="1003" max="1003" width="14.5703125" bestFit="1" customWidth="1"/>
    <col min="1004" max="1004" width="11.5703125" bestFit="1" customWidth="1"/>
    <col min="1005" max="1005" width="14.5703125" bestFit="1" customWidth="1"/>
    <col min="1006" max="1006" width="11.5703125" bestFit="1" customWidth="1"/>
    <col min="1007" max="1007" width="14.5703125" bestFit="1" customWidth="1"/>
    <col min="1008" max="1008" width="12.5703125" bestFit="1" customWidth="1"/>
    <col min="1009" max="1009" width="15.5703125" bestFit="1" customWidth="1"/>
    <col min="1010" max="1010" width="12.5703125" bestFit="1" customWidth="1"/>
    <col min="1011" max="1011" width="15.5703125" bestFit="1" customWidth="1"/>
    <col min="1012" max="1012" width="12.5703125" bestFit="1" customWidth="1"/>
    <col min="1013" max="1013" width="15.5703125" bestFit="1" customWidth="1"/>
    <col min="1014" max="1014" width="12.5703125" bestFit="1" customWidth="1"/>
    <col min="1015" max="1015" width="15.5703125" bestFit="1" customWidth="1"/>
    <col min="1016" max="1016" width="12.5703125" bestFit="1" customWidth="1"/>
    <col min="1017" max="1017" width="15.5703125" bestFit="1" customWidth="1"/>
    <col min="1018" max="1018" width="11.5703125" bestFit="1" customWidth="1"/>
    <col min="1019" max="1019" width="14.5703125" bestFit="1" customWidth="1"/>
    <col min="1020" max="1020" width="11.5703125" bestFit="1" customWidth="1"/>
    <col min="1021" max="1021" width="14.5703125" bestFit="1" customWidth="1"/>
    <col min="1022" max="1022" width="11.5703125" bestFit="1" customWidth="1"/>
    <col min="1023" max="1023" width="14.5703125" bestFit="1" customWidth="1"/>
    <col min="1024" max="1024" width="12.5703125" bestFit="1" customWidth="1"/>
    <col min="1025" max="1025" width="15.5703125" bestFit="1" customWidth="1"/>
    <col min="1026" max="1026" width="12.5703125" bestFit="1" customWidth="1"/>
    <col min="1027" max="1027" width="15.5703125" bestFit="1" customWidth="1"/>
    <col min="1028" max="1028" width="12.5703125" bestFit="1" customWidth="1"/>
    <col min="1029" max="1029" width="15.5703125" bestFit="1" customWidth="1"/>
    <col min="1030" max="1030" width="12.5703125" bestFit="1" customWidth="1"/>
    <col min="1031" max="1031" width="15.5703125" bestFit="1" customWidth="1"/>
    <col min="1032" max="1032" width="12.5703125" bestFit="1" customWidth="1"/>
    <col min="1033" max="1033" width="15.5703125" bestFit="1" customWidth="1"/>
    <col min="1034" max="1034" width="12.5703125" bestFit="1" customWidth="1"/>
    <col min="1035" max="1035" width="15.5703125" bestFit="1" customWidth="1"/>
    <col min="1036" max="1036" width="10.5703125" bestFit="1" customWidth="1"/>
    <col min="1037" max="1037" width="13.5703125" bestFit="1" customWidth="1"/>
    <col min="1038" max="1038" width="10.5703125" bestFit="1" customWidth="1"/>
    <col min="1039" max="1039" width="13.5703125" bestFit="1" customWidth="1"/>
    <col min="1040" max="1040" width="10.5703125" bestFit="1" customWidth="1"/>
    <col min="1041" max="1041" width="13.5703125" bestFit="1" customWidth="1"/>
    <col min="1042" max="1042" width="11.5703125" bestFit="1" customWidth="1"/>
    <col min="1043" max="1043" width="14.5703125" bestFit="1" customWidth="1"/>
    <col min="1044" max="1044" width="11.5703125" bestFit="1" customWidth="1"/>
    <col min="1045" max="1045" width="14.5703125" bestFit="1" customWidth="1"/>
    <col min="1046" max="1046" width="11.5703125" bestFit="1" customWidth="1"/>
    <col min="1047" max="1047" width="14.5703125" bestFit="1" customWidth="1"/>
    <col min="1048" max="1048" width="11.5703125" bestFit="1" customWidth="1"/>
    <col min="1049" max="1049" width="14.5703125" bestFit="1" customWidth="1"/>
    <col min="1050" max="1050" width="11.5703125" bestFit="1" customWidth="1"/>
    <col min="1051" max="1051" width="14.5703125" bestFit="1" customWidth="1"/>
    <col min="1052" max="1052" width="10.5703125" bestFit="1" customWidth="1"/>
    <col min="1053" max="1053" width="13.5703125" bestFit="1" customWidth="1"/>
    <col min="1054" max="1054" width="10.5703125" bestFit="1" customWidth="1"/>
    <col min="1055" max="1055" width="13.5703125" bestFit="1" customWidth="1"/>
    <col min="1056" max="1056" width="11.5703125" bestFit="1" customWidth="1"/>
    <col min="1057" max="1057" width="14.5703125" bestFit="1" customWidth="1"/>
    <col min="1058" max="1058" width="11.5703125" bestFit="1" customWidth="1"/>
    <col min="1059" max="1059" width="14.5703125" bestFit="1" customWidth="1"/>
    <col min="1060" max="1060" width="11.5703125" bestFit="1" customWidth="1"/>
    <col min="1061" max="1061" width="14.5703125" bestFit="1" customWidth="1"/>
    <col min="1062" max="1062" width="11.5703125" bestFit="1" customWidth="1"/>
    <col min="1063" max="1063" width="14.5703125" bestFit="1" customWidth="1"/>
    <col min="1064" max="1064" width="10.5703125" bestFit="1" customWidth="1"/>
    <col min="1065" max="1065" width="13.5703125" bestFit="1" customWidth="1"/>
    <col min="1066" max="1066" width="11.5703125" bestFit="1" customWidth="1"/>
    <col min="1067" max="1067" width="14.5703125" bestFit="1" customWidth="1"/>
    <col min="1068" max="1068" width="11.5703125" bestFit="1" customWidth="1"/>
    <col min="1069" max="1069" width="14.5703125" bestFit="1" customWidth="1"/>
    <col min="1070" max="1070" width="11.5703125" bestFit="1" customWidth="1"/>
    <col min="1071" max="1071" width="14.5703125" bestFit="1" customWidth="1"/>
    <col min="1072" max="1072" width="11.5703125" bestFit="1" customWidth="1"/>
    <col min="1073" max="1073" width="14.5703125" bestFit="1" customWidth="1"/>
    <col min="1074" max="1074" width="10.5703125" bestFit="1" customWidth="1"/>
    <col min="1075" max="1075" width="13.5703125" bestFit="1" customWidth="1"/>
    <col min="1076" max="1076" width="11.5703125" bestFit="1" customWidth="1"/>
    <col min="1077" max="1077" width="14.5703125" bestFit="1" customWidth="1"/>
    <col min="1078" max="1078" width="11.5703125" bestFit="1" customWidth="1"/>
    <col min="1079" max="1079" width="14.5703125" bestFit="1" customWidth="1"/>
    <col min="1080" max="1080" width="11.5703125" bestFit="1" customWidth="1"/>
    <col min="1081" max="1081" width="14.5703125" bestFit="1" customWidth="1"/>
    <col min="1082" max="1082" width="11.5703125" bestFit="1" customWidth="1"/>
    <col min="1083" max="1083" width="14.5703125" bestFit="1" customWidth="1"/>
    <col min="1084" max="1084" width="11.5703125" bestFit="1" customWidth="1"/>
    <col min="1085" max="1085" width="14.5703125" bestFit="1" customWidth="1"/>
    <col min="1086" max="1086" width="10.5703125" bestFit="1" customWidth="1"/>
    <col min="1087" max="1087" width="13.5703125" bestFit="1" customWidth="1"/>
    <col min="1088" max="1088" width="11.5703125" bestFit="1" customWidth="1"/>
    <col min="1089" max="1089" width="14.5703125" bestFit="1" customWidth="1"/>
    <col min="1090" max="1090" width="11.5703125" bestFit="1" customWidth="1"/>
    <col min="1091" max="1091" width="14.5703125" bestFit="1" customWidth="1"/>
    <col min="1092" max="1092" width="11.5703125" bestFit="1" customWidth="1"/>
    <col min="1093" max="1093" width="14.5703125" bestFit="1" customWidth="1"/>
    <col min="1094" max="1094" width="11.5703125" bestFit="1" customWidth="1"/>
    <col min="1095" max="1095" width="14.5703125" bestFit="1" customWidth="1"/>
    <col min="1096" max="1096" width="11.5703125" bestFit="1" customWidth="1"/>
    <col min="1097" max="1097" width="14.5703125" bestFit="1" customWidth="1"/>
    <col min="1098" max="1098" width="11.5703125" bestFit="1" customWidth="1"/>
    <col min="1099" max="1099" width="14.5703125" bestFit="1" customWidth="1"/>
    <col min="1100" max="1100" width="11.5703125" bestFit="1" customWidth="1"/>
    <col min="1101" max="1101" width="14.5703125" bestFit="1" customWidth="1"/>
    <col min="1102" max="1102" width="10.5703125" bestFit="1" customWidth="1"/>
    <col min="1103" max="1103" width="13.5703125" bestFit="1" customWidth="1"/>
    <col min="1104" max="1104" width="10.5703125" bestFit="1" customWidth="1"/>
    <col min="1105" max="1105" width="13.5703125" bestFit="1" customWidth="1"/>
    <col min="1106" max="1106" width="10.5703125" bestFit="1" customWidth="1"/>
    <col min="1107" max="1107" width="13.5703125" bestFit="1" customWidth="1"/>
    <col min="1108" max="1108" width="10.5703125" bestFit="1" customWidth="1"/>
    <col min="1109" max="1109" width="13.5703125" bestFit="1" customWidth="1"/>
    <col min="1110" max="1110" width="11.5703125" bestFit="1" customWidth="1"/>
    <col min="1111" max="1111" width="14.5703125" bestFit="1" customWidth="1"/>
    <col min="1112" max="1112" width="11.5703125" bestFit="1" customWidth="1"/>
    <col min="1113" max="1113" width="14.5703125" bestFit="1" customWidth="1"/>
    <col min="1114" max="1114" width="11.5703125" bestFit="1" customWidth="1"/>
    <col min="1115" max="1115" width="14.5703125" bestFit="1" customWidth="1"/>
    <col min="1116" max="1116" width="11.5703125" bestFit="1" customWidth="1"/>
    <col min="1117" max="1117" width="14.5703125" bestFit="1" customWidth="1"/>
    <col min="1118" max="1118" width="11.5703125" bestFit="1" customWidth="1"/>
    <col min="1119" max="1119" width="14.5703125" bestFit="1" customWidth="1"/>
    <col min="1120" max="1120" width="11.5703125" bestFit="1" customWidth="1"/>
    <col min="1121" max="1121" width="14.5703125" bestFit="1" customWidth="1"/>
    <col min="1122" max="1122" width="10.5703125" bestFit="1" customWidth="1"/>
    <col min="1123" max="1123" width="13.5703125" bestFit="1" customWidth="1"/>
    <col min="1124" max="1124" width="11.5703125" bestFit="1" customWidth="1"/>
    <col min="1125" max="1125" width="14.5703125" bestFit="1" customWidth="1"/>
    <col min="1126" max="1126" width="11.5703125" bestFit="1" customWidth="1"/>
    <col min="1127" max="1127" width="14.5703125" bestFit="1" customWidth="1"/>
    <col min="1128" max="1128" width="11.5703125" bestFit="1" customWidth="1"/>
    <col min="1129" max="1129" width="14.5703125" bestFit="1" customWidth="1"/>
    <col min="1130" max="1130" width="11.5703125" bestFit="1" customWidth="1"/>
    <col min="1131" max="1131" width="14.5703125" bestFit="1" customWidth="1"/>
    <col min="1132" max="1132" width="11.5703125" bestFit="1" customWidth="1"/>
    <col min="1133" max="1133" width="14.5703125" bestFit="1" customWidth="1"/>
    <col min="1134" max="1134" width="10.5703125" bestFit="1" customWidth="1"/>
    <col min="1135" max="1135" width="13.5703125" bestFit="1" customWidth="1"/>
    <col min="1136" max="1136" width="10.5703125" bestFit="1" customWidth="1"/>
    <col min="1137" max="1137" width="13.5703125" bestFit="1" customWidth="1"/>
    <col min="1138" max="1138" width="10.5703125" bestFit="1" customWidth="1"/>
    <col min="1139" max="1139" width="13.5703125" bestFit="1" customWidth="1"/>
    <col min="1140" max="1140" width="10.5703125" bestFit="1" customWidth="1"/>
    <col min="1141" max="1141" width="13.5703125" bestFit="1" customWidth="1"/>
    <col min="1142" max="1142" width="11.5703125" bestFit="1" customWidth="1"/>
    <col min="1143" max="1143" width="14.5703125" bestFit="1" customWidth="1"/>
    <col min="1144" max="1144" width="11.5703125" bestFit="1" customWidth="1"/>
    <col min="1145" max="1145" width="14.5703125" bestFit="1" customWidth="1"/>
    <col min="1146" max="1146" width="11.5703125" bestFit="1" customWidth="1"/>
    <col min="1147" max="1147" width="14.5703125" bestFit="1" customWidth="1"/>
    <col min="1148" max="1148" width="11.5703125" bestFit="1" customWidth="1"/>
    <col min="1149" max="1149" width="14.5703125" bestFit="1" customWidth="1"/>
    <col min="1150" max="1150" width="11.5703125" bestFit="1" customWidth="1"/>
    <col min="1151" max="1151" width="14.5703125" bestFit="1" customWidth="1"/>
    <col min="1152" max="1152" width="11.5703125" bestFit="1" customWidth="1"/>
    <col min="1153" max="1153" width="14.5703125" bestFit="1" customWidth="1"/>
    <col min="1154" max="1154" width="11.5703125" bestFit="1" customWidth="1"/>
    <col min="1155" max="1155" width="14.5703125" bestFit="1" customWidth="1"/>
    <col min="1156" max="1156" width="11.5703125" bestFit="1" customWidth="1"/>
    <col min="1157" max="1157" width="14.5703125" bestFit="1" customWidth="1"/>
    <col min="1158" max="1158" width="10.5703125" bestFit="1" customWidth="1"/>
    <col min="1159" max="1159" width="13.5703125" bestFit="1" customWidth="1"/>
    <col min="1160" max="1160" width="10.5703125" bestFit="1" customWidth="1"/>
    <col min="1161" max="1161" width="13.5703125" bestFit="1" customWidth="1"/>
    <col min="1162" max="1162" width="10.5703125" bestFit="1" customWidth="1"/>
    <col min="1163" max="1163" width="13.5703125" bestFit="1" customWidth="1"/>
    <col min="1164" max="1164" width="10.5703125" bestFit="1" customWidth="1"/>
    <col min="1165" max="1165" width="13.5703125" bestFit="1" customWidth="1"/>
    <col min="1166" max="1166" width="10.5703125" bestFit="1" customWidth="1"/>
    <col min="1167" max="1167" width="13.5703125" bestFit="1" customWidth="1"/>
    <col min="1168" max="1168" width="11.5703125" bestFit="1" customWidth="1"/>
    <col min="1169" max="1169" width="14.5703125" bestFit="1" customWidth="1"/>
    <col min="1170" max="1170" width="11.5703125" bestFit="1" customWidth="1"/>
    <col min="1171" max="1171" width="14.5703125" bestFit="1" customWidth="1"/>
    <col min="1172" max="1172" width="11.5703125" bestFit="1" customWidth="1"/>
    <col min="1173" max="1173" width="14.5703125" bestFit="1" customWidth="1"/>
    <col min="1174" max="1174" width="11.5703125" bestFit="1" customWidth="1"/>
    <col min="1175" max="1175" width="14.5703125" bestFit="1" customWidth="1"/>
    <col min="1176" max="1176" width="11.5703125" bestFit="1" customWidth="1"/>
    <col min="1177" max="1177" width="14.5703125" bestFit="1" customWidth="1"/>
    <col min="1178" max="1178" width="11.5703125" bestFit="1" customWidth="1"/>
    <col min="1179" max="1179" width="14.5703125" bestFit="1" customWidth="1"/>
    <col min="1180" max="1180" width="11.5703125" bestFit="1" customWidth="1"/>
    <col min="1181" max="1181" width="14.5703125" bestFit="1" customWidth="1"/>
    <col min="1182" max="1182" width="12.5703125" bestFit="1" customWidth="1"/>
    <col min="1183" max="1183" width="15.5703125" bestFit="1" customWidth="1"/>
    <col min="1184" max="1184" width="12.5703125" bestFit="1" customWidth="1"/>
    <col min="1185" max="1185" width="15.5703125" bestFit="1" customWidth="1"/>
    <col min="1186" max="1186" width="12.5703125" bestFit="1" customWidth="1"/>
    <col min="1187" max="1187" width="15.5703125" bestFit="1" customWidth="1"/>
    <col min="1188" max="1188" width="12.5703125" bestFit="1" customWidth="1"/>
    <col min="1189" max="1189" width="15.5703125" bestFit="1" customWidth="1"/>
    <col min="1190" max="1190" width="12.5703125" bestFit="1" customWidth="1"/>
    <col min="1191" max="1191" width="15.5703125" bestFit="1" customWidth="1"/>
    <col min="1192" max="1192" width="12.5703125" bestFit="1" customWidth="1"/>
    <col min="1193" max="1193" width="15.5703125" bestFit="1" customWidth="1"/>
    <col min="1194" max="1194" width="12.5703125" bestFit="1" customWidth="1"/>
    <col min="1195" max="1195" width="15.5703125" bestFit="1" customWidth="1"/>
    <col min="1196" max="1196" width="11.5703125" bestFit="1" customWidth="1"/>
    <col min="1197" max="1197" width="14.5703125" bestFit="1" customWidth="1"/>
    <col min="1198" max="1198" width="11.5703125" bestFit="1" customWidth="1"/>
    <col min="1199" max="1199" width="14.5703125" bestFit="1" customWidth="1"/>
    <col min="1200" max="1200" width="12.5703125" bestFit="1" customWidth="1"/>
    <col min="1201" max="1201" width="15.5703125" bestFit="1" customWidth="1"/>
    <col min="1202" max="1202" width="12.5703125" bestFit="1" customWidth="1"/>
    <col min="1203" max="1203" width="15.5703125" bestFit="1" customWidth="1"/>
    <col min="1204" max="1204" width="11.5703125" bestFit="1" customWidth="1"/>
    <col min="1205" max="1205" width="14.5703125" bestFit="1" customWidth="1"/>
    <col min="1206" max="1206" width="12.5703125" bestFit="1" customWidth="1"/>
    <col min="1207" max="1207" width="15.5703125" bestFit="1" customWidth="1"/>
    <col min="1208" max="1208" width="12.5703125" bestFit="1" customWidth="1"/>
    <col min="1209" max="1209" width="15.5703125" bestFit="1" customWidth="1"/>
    <col min="1210" max="1210" width="12.5703125" bestFit="1" customWidth="1"/>
    <col min="1211" max="1211" width="15.5703125" bestFit="1" customWidth="1"/>
    <col min="1212" max="1212" width="12.5703125" bestFit="1" customWidth="1"/>
    <col min="1213" max="1213" width="15.5703125" bestFit="1" customWidth="1"/>
    <col min="1214" max="1214" width="10.5703125" bestFit="1" customWidth="1"/>
    <col min="1215" max="1215" width="13.5703125" bestFit="1" customWidth="1"/>
    <col min="1216" max="1216" width="10.5703125" bestFit="1" customWidth="1"/>
    <col min="1217" max="1217" width="13.5703125" bestFit="1" customWidth="1"/>
    <col min="1218" max="1218" width="11.5703125" bestFit="1" customWidth="1"/>
    <col min="1219" max="1219" width="14.5703125" bestFit="1" customWidth="1"/>
    <col min="1220" max="1220" width="11.5703125" bestFit="1" customWidth="1"/>
    <col min="1221" max="1221" width="14.5703125" bestFit="1" customWidth="1"/>
    <col min="1222" max="1222" width="11.5703125" bestFit="1" customWidth="1"/>
    <col min="1223" max="1223" width="14.5703125" bestFit="1" customWidth="1"/>
    <col min="1224" max="1224" width="11.5703125" bestFit="1" customWidth="1"/>
    <col min="1225" max="1225" width="14.5703125" bestFit="1" customWidth="1"/>
    <col min="1226" max="1226" width="11.5703125" bestFit="1" customWidth="1"/>
    <col min="1227" max="1227" width="14.5703125" bestFit="1" customWidth="1"/>
    <col min="1228" max="1228" width="10.5703125" bestFit="1" customWidth="1"/>
    <col min="1229" max="1229" width="13.5703125" bestFit="1" customWidth="1"/>
    <col min="1230" max="1230" width="10.5703125" bestFit="1" customWidth="1"/>
    <col min="1231" max="1231" width="13.5703125" bestFit="1" customWidth="1"/>
    <col min="1232" max="1232" width="11.5703125" bestFit="1" customWidth="1"/>
    <col min="1233" max="1233" width="14.5703125" bestFit="1" customWidth="1"/>
    <col min="1234" max="1234" width="11.5703125" bestFit="1" customWidth="1"/>
    <col min="1235" max="1235" width="14.5703125" bestFit="1" customWidth="1"/>
    <col min="1236" max="1236" width="11.5703125" bestFit="1" customWidth="1"/>
    <col min="1237" max="1237" width="14.5703125" bestFit="1" customWidth="1"/>
    <col min="1238" max="1238" width="11.5703125" bestFit="1" customWidth="1"/>
    <col min="1239" max="1239" width="14.5703125" bestFit="1" customWidth="1"/>
    <col min="1240" max="1240" width="11.5703125" bestFit="1" customWidth="1"/>
    <col min="1241" max="1241" width="14.5703125" bestFit="1" customWidth="1"/>
    <col min="1242" max="1242" width="11.5703125" bestFit="1" customWidth="1"/>
    <col min="1243" max="1243" width="14.5703125" bestFit="1" customWidth="1"/>
    <col min="1244" max="1244" width="10.5703125" bestFit="1" customWidth="1"/>
    <col min="1245" max="1245" width="13.5703125" bestFit="1" customWidth="1"/>
    <col min="1246" max="1246" width="10.5703125" bestFit="1" customWidth="1"/>
    <col min="1247" max="1247" width="13.5703125" bestFit="1" customWidth="1"/>
    <col min="1248" max="1248" width="11.5703125" bestFit="1" customWidth="1"/>
    <col min="1249" max="1249" width="14.5703125" bestFit="1" customWidth="1"/>
    <col min="1250" max="1250" width="11.5703125" bestFit="1" customWidth="1"/>
    <col min="1251" max="1251" width="14.5703125" bestFit="1" customWidth="1"/>
    <col min="1252" max="1252" width="11.5703125" bestFit="1" customWidth="1"/>
    <col min="1253" max="1253" width="14.5703125" bestFit="1" customWidth="1"/>
    <col min="1254" max="1254" width="11.5703125" bestFit="1" customWidth="1"/>
    <col min="1255" max="1255" width="14.5703125" bestFit="1" customWidth="1"/>
    <col min="1256" max="1256" width="11.5703125" bestFit="1" customWidth="1"/>
    <col min="1257" max="1257" width="14.5703125" bestFit="1" customWidth="1"/>
    <col min="1258" max="1258" width="10.5703125" bestFit="1" customWidth="1"/>
    <col min="1259" max="1259" width="13.5703125" bestFit="1" customWidth="1"/>
    <col min="1260" max="1260" width="11.5703125" bestFit="1" customWidth="1"/>
    <col min="1261" max="1261" width="14.5703125" bestFit="1" customWidth="1"/>
    <col min="1262" max="1262" width="11.5703125" bestFit="1" customWidth="1"/>
    <col min="1263" max="1263" width="14.5703125" bestFit="1" customWidth="1"/>
    <col min="1264" max="1264" width="11.5703125" bestFit="1" customWidth="1"/>
    <col min="1265" max="1265" width="14.5703125" bestFit="1" customWidth="1"/>
    <col min="1266" max="1266" width="11.5703125" bestFit="1" customWidth="1"/>
    <col min="1267" max="1267" width="14.5703125" bestFit="1" customWidth="1"/>
    <col min="1268" max="1268" width="11.5703125" bestFit="1" customWidth="1"/>
    <col min="1269" max="1269" width="14.5703125" bestFit="1" customWidth="1"/>
    <col min="1270" max="1270" width="10.5703125" bestFit="1" customWidth="1"/>
    <col min="1271" max="1271" width="13.5703125" bestFit="1" customWidth="1"/>
    <col min="1272" max="1272" width="10.5703125" bestFit="1" customWidth="1"/>
    <col min="1273" max="1273" width="13.5703125" bestFit="1" customWidth="1"/>
    <col min="1274" max="1274" width="10.5703125" bestFit="1" customWidth="1"/>
    <col min="1275" max="1275" width="13.5703125" bestFit="1" customWidth="1"/>
    <col min="1276" max="1276" width="11.5703125" bestFit="1" customWidth="1"/>
    <col min="1277" max="1277" width="14.5703125" bestFit="1" customWidth="1"/>
    <col min="1278" max="1278" width="11.5703125" bestFit="1" customWidth="1"/>
    <col min="1279" max="1279" width="14.5703125" bestFit="1" customWidth="1"/>
    <col min="1280" max="1280" width="11.5703125" bestFit="1" customWidth="1"/>
    <col min="1281" max="1281" width="14.5703125" bestFit="1" customWidth="1"/>
    <col min="1282" max="1282" width="10.5703125" bestFit="1" customWidth="1"/>
    <col min="1283" max="1283" width="13.5703125" bestFit="1" customWidth="1"/>
    <col min="1284" max="1284" width="10.5703125" bestFit="1" customWidth="1"/>
    <col min="1285" max="1285" width="13.5703125" bestFit="1" customWidth="1"/>
    <col min="1286" max="1286" width="11.5703125" bestFit="1" customWidth="1"/>
    <col min="1287" max="1287" width="14.5703125" bestFit="1" customWidth="1"/>
    <col min="1288" max="1288" width="11.5703125" bestFit="1" customWidth="1"/>
    <col min="1289" max="1289" width="14.5703125" bestFit="1" customWidth="1"/>
    <col min="1290" max="1290" width="11.5703125" bestFit="1" customWidth="1"/>
    <col min="1291" max="1291" width="14.5703125" bestFit="1" customWidth="1"/>
    <col min="1292" max="1292" width="11.5703125" bestFit="1" customWidth="1"/>
    <col min="1293" max="1293" width="14.5703125" bestFit="1" customWidth="1"/>
    <col min="1294" max="1294" width="11.5703125" bestFit="1" customWidth="1"/>
    <col min="1295" max="1295" width="14.5703125" bestFit="1" customWidth="1"/>
    <col min="1296" max="1296" width="11.5703125" bestFit="1" customWidth="1"/>
    <col min="1297" max="1297" width="14.5703125" bestFit="1" customWidth="1"/>
    <col min="1298" max="1298" width="11.5703125" bestFit="1" customWidth="1"/>
    <col min="1299" max="1299" width="14.5703125" bestFit="1" customWidth="1"/>
    <col min="1300" max="1300" width="11.5703125" bestFit="1" customWidth="1"/>
    <col min="1301" max="1301" width="14.5703125" bestFit="1" customWidth="1"/>
    <col min="1302" max="1302" width="11.5703125" bestFit="1" customWidth="1"/>
    <col min="1303" max="1303" width="14.5703125" bestFit="1" customWidth="1"/>
    <col min="1304" max="1304" width="10.5703125" bestFit="1" customWidth="1"/>
    <col min="1305" max="1305" width="13.5703125" bestFit="1" customWidth="1"/>
    <col min="1306" max="1306" width="10.5703125" bestFit="1" customWidth="1"/>
    <col min="1307" max="1307" width="13.5703125" bestFit="1" customWidth="1"/>
    <col min="1308" max="1308" width="10.5703125" bestFit="1" customWidth="1"/>
    <col min="1309" max="1309" width="13.5703125" bestFit="1" customWidth="1"/>
    <col min="1310" max="1310" width="11.5703125" bestFit="1" customWidth="1"/>
    <col min="1311" max="1311" width="14.5703125" bestFit="1" customWidth="1"/>
    <col min="1312" max="1312" width="11.5703125" bestFit="1" customWidth="1"/>
    <col min="1313" max="1313" width="14.5703125" bestFit="1" customWidth="1"/>
    <col min="1314" max="1314" width="11.5703125" bestFit="1" customWidth="1"/>
    <col min="1315" max="1315" width="14.5703125" bestFit="1" customWidth="1"/>
    <col min="1316" max="1316" width="11.5703125" bestFit="1" customWidth="1"/>
    <col min="1317" max="1317" width="14.5703125" bestFit="1" customWidth="1"/>
    <col min="1318" max="1318" width="11.5703125" bestFit="1" customWidth="1"/>
    <col min="1319" max="1319" width="14.5703125" bestFit="1" customWidth="1"/>
    <col min="1320" max="1320" width="11.5703125" bestFit="1" customWidth="1"/>
    <col min="1321" max="1321" width="14.5703125" bestFit="1" customWidth="1"/>
    <col min="1322" max="1322" width="11.5703125" bestFit="1" customWidth="1"/>
    <col min="1323" max="1323" width="14.5703125" bestFit="1" customWidth="1"/>
    <col min="1324" max="1324" width="10.5703125" bestFit="1" customWidth="1"/>
    <col min="1325" max="1325" width="13.5703125" bestFit="1" customWidth="1"/>
    <col min="1326" max="1326" width="10.5703125" bestFit="1" customWidth="1"/>
    <col min="1327" max="1327" width="13.5703125" bestFit="1" customWidth="1"/>
    <col min="1328" max="1328" width="10.5703125" bestFit="1" customWidth="1"/>
    <col min="1329" max="1329" width="13.5703125" bestFit="1" customWidth="1"/>
    <col min="1330" max="1330" width="11.5703125" bestFit="1" customWidth="1"/>
    <col min="1331" max="1331" width="14.5703125" bestFit="1" customWidth="1"/>
    <col min="1332" max="1332" width="11.5703125" bestFit="1" customWidth="1"/>
    <col min="1333" max="1333" width="14.5703125" bestFit="1" customWidth="1"/>
    <col min="1334" max="1334" width="11.5703125" bestFit="1" customWidth="1"/>
    <col min="1335" max="1335" width="14.5703125" bestFit="1" customWidth="1"/>
    <col min="1336" max="1336" width="12.5703125" bestFit="1" customWidth="1"/>
    <col min="1337" max="1337" width="15.5703125" bestFit="1" customWidth="1"/>
    <col min="1338" max="1338" width="12.5703125" bestFit="1" customWidth="1"/>
    <col min="1339" max="1339" width="15.5703125" bestFit="1" customWidth="1"/>
    <col min="1340" max="1340" width="12.5703125" bestFit="1" customWidth="1"/>
    <col min="1341" max="1341" width="15.5703125" bestFit="1" customWidth="1"/>
    <col min="1342" max="1342" width="12.5703125" bestFit="1" customWidth="1"/>
    <col min="1343" max="1343" width="15.5703125" bestFit="1" customWidth="1"/>
    <col min="1344" max="1344" width="12.5703125" bestFit="1" customWidth="1"/>
    <col min="1345" max="1345" width="15.5703125" bestFit="1" customWidth="1"/>
    <col min="1346" max="1346" width="11.5703125" bestFit="1" customWidth="1"/>
    <col min="1347" max="1347" width="14.5703125" bestFit="1" customWidth="1"/>
    <col min="1348" max="1348" width="11.5703125" bestFit="1" customWidth="1"/>
    <col min="1349" max="1349" width="14.5703125" bestFit="1" customWidth="1"/>
    <col min="1350" max="1350" width="12.5703125" bestFit="1" customWidth="1"/>
    <col min="1351" max="1351" width="15.5703125" bestFit="1" customWidth="1"/>
    <col min="1352" max="1352" width="12.5703125" bestFit="1" customWidth="1"/>
    <col min="1353" max="1353" width="15.5703125" bestFit="1" customWidth="1"/>
    <col min="1354" max="1354" width="12.5703125" bestFit="1" customWidth="1"/>
    <col min="1355" max="1355" width="15.5703125" bestFit="1" customWidth="1"/>
    <col min="1356" max="1356" width="12.5703125" bestFit="1" customWidth="1"/>
    <col min="1357" max="1357" width="15.5703125" bestFit="1" customWidth="1"/>
    <col min="1358" max="1358" width="12.5703125" bestFit="1" customWidth="1"/>
    <col min="1359" max="1359" width="15.5703125" bestFit="1" customWidth="1"/>
    <col min="1360" max="1360" width="11.5703125" bestFit="1" customWidth="1"/>
    <col min="1361" max="1361" width="14.5703125" bestFit="1" customWidth="1"/>
    <col min="1362" max="1362" width="11.5703125" bestFit="1" customWidth="1"/>
    <col min="1363" max="1363" width="14.5703125" bestFit="1" customWidth="1"/>
    <col min="1364" max="1364" width="11.5703125" bestFit="1" customWidth="1"/>
    <col min="1365" max="1365" width="14.5703125" bestFit="1" customWidth="1"/>
    <col min="1366" max="1366" width="12.5703125" bestFit="1" customWidth="1"/>
    <col min="1367" max="1367" width="15.5703125" bestFit="1" customWidth="1"/>
    <col min="1368" max="1368" width="12.5703125" bestFit="1" customWidth="1"/>
    <col min="1369" max="1369" width="15.5703125" bestFit="1" customWidth="1"/>
    <col min="1370" max="1370" width="12.5703125" bestFit="1" customWidth="1"/>
    <col min="1371" max="1371" width="15.5703125" bestFit="1" customWidth="1"/>
    <col min="1372" max="1372" width="10.5703125" bestFit="1" customWidth="1"/>
    <col min="1373" max="1373" width="13.5703125" bestFit="1" customWidth="1"/>
    <col min="1374" max="1374" width="11.5703125" bestFit="1" customWidth="1"/>
    <col min="1375" max="1375" width="14.5703125" bestFit="1" customWidth="1"/>
    <col min="1376" max="1376" width="11.5703125" bestFit="1" customWidth="1"/>
    <col min="1377" max="1377" width="14.5703125" bestFit="1" customWidth="1"/>
    <col min="1378" max="1378" width="11.5703125" bestFit="1" customWidth="1"/>
    <col min="1379" max="1379" width="14.5703125" bestFit="1" customWidth="1"/>
    <col min="1380" max="1380" width="11.5703125" bestFit="1" customWidth="1"/>
    <col min="1381" max="1381" width="14.5703125" bestFit="1" customWidth="1"/>
    <col min="1382" max="1382" width="11.5703125" bestFit="1" customWidth="1"/>
    <col min="1383" max="1383" width="14.5703125" bestFit="1" customWidth="1"/>
    <col min="1384" max="1384" width="11.5703125" bestFit="1" customWidth="1"/>
    <col min="1385" max="1385" width="14.5703125" bestFit="1" customWidth="1"/>
    <col min="1386" max="1386" width="11.5703125" bestFit="1" customWidth="1"/>
    <col min="1387" max="1387" width="14.5703125" bestFit="1" customWidth="1"/>
    <col min="1388" max="1388" width="11.5703125" bestFit="1" customWidth="1"/>
    <col min="1389" max="1389" width="14.5703125" bestFit="1" customWidth="1"/>
    <col min="1390" max="1390" width="11.5703125" bestFit="1" customWidth="1"/>
    <col min="1391" max="1391" width="14.5703125" bestFit="1" customWidth="1"/>
    <col min="1392" max="1392" width="11.5703125" bestFit="1" customWidth="1"/>
    <col min="1393" max="1393" width="14.5703125" bestFit="1" customWidth="1"/>
    <col min="1394" max="1394" width="10.5703125" bestFit="1" customWidth="1"/>
    <col min="1395" max="1395" width="13.5703125" bestFit="1" customWidth="1"/>
    <col min="1396" max="1396" width="10.5703125" bestFit="1" customWidth="1"/>
    <col min="1397" max="1397" width="13.5703125" bestFit="1" customWidth="1"/>
    <col min="1398" max="1398" width="10.5703125" bestFit="1" customWidth="1"/>
    <col min="1399" max="1399" width="13.5703125" bestFit="1" customWidth="1"/>
    <col min="1400" max="1400" width="11.5703125" bestFit="1" customWidth="1"/>
    <col min="1401" max="1401" width="14.5703125" bestFit="1" customWidth="1"/>
    <col min="1402" max="1402" width="11.5703125" bestFit="1" customWidth="1"/>
    <col min="1403" max="1403" width="14.5703125" bestFit="1" customWidth="1"/>
    <col min="1404" max="1404" width="11.5703125" bestFit="1" customWidth="1"/>
    <col min="1405" max="1405" width="14.5703125" bestFit="1" customWidth="1"/>
    <col min="1406" max="1406" width="11.5703125" bestFit="1" customWidth="1"/>
    <col min="1407" max="1407" width="14.5703125" bestFit="1" customWidth="1"/>
    <col min="1408" max="1408" width="10.5703125" bestFit="1" customWidth="1"/>
    <col min="1409" max="1409" width="13.5703125" bestFit="1" customWidth="1"/>
    <col min="1410" max="1410" width="10.5703125" bestFit="1" customWidth="1"/>
    <col min="1411" max="1411" width="13.5703125" bestFit="1" customWidth="1"/>
    <col min="1412" max="1412" width="11.5703125" bestFit="1" customWidth="1"/>
    <col min="1413" max="1413" width="14.5703125" bestFit="1" customWidth="1"/>
    <col min="1414" max="1414" width="11.5703125" bestFit="1" customWidth="1"/>
    <col min="1415" max="1415" width="14.5703125" bestFit="1" customWidth="1"/>
    <col min="1416" max="1416" width="11.5703125" bestFit="1" customWidth="1"/>
    <col min="1417" max="1417" width="14.5703125" bestFit="1" customWidth="1"/>
    <col min="1418" max="1418" width="11.5703125" bestFit="1" customWidth="1"/>
    <col min="1419" max="1419" width="14.5703125" bestFit="1" customWidth="1"/>
    <col min="1420" max="1420" width="11.5703125" bestFit="1" customWidth="1"/>
    <col min="1421" max="1421" width="14.5703125" bestFit="1" customWidth="1"/>
    <col min="1422" max="1422" width="11.5703125" bestFit="1" customWidth="1"/>
    <col min="1423" max="1423" width="14.5703125" bestFit="1" customWidth="1"/>
    <col min="1424" max="1424" width="10.5703125" bestFit="1" customWidth="1"/>
    <col min="1425" max="1425" width="13.5703125" bestFit="1" customWidth="1"/>
    <col min="1426" max="1426" width="10.5703125" bestFit="1" customWidth="1"/>
    <col min="1427" max="1427" width="13.5703125" bestFit="1" customWidth="1"/>
    <col min="1428" max="1428" width="11.5703125" bestFit="1" customWidth="1"/>
    <col min="1429" max="1429" width="14.5703125" bestFit="1" customWidth="1"/>
    <col min="1430" max="1430" width="11.5703125" bestFit="1" customWidth="1"/>
    <col min="1431" max="1431" width="14.5703125" bestFit="1" customWidth="1"/>
    <col min="1432" max="1432" width="11.5703125" bestFit="1" customWidth="1"/>
    <col min="1433" max="1433" width="14.5703125" bestFit="1" customWidth="1"/>
    <col min="1434" max="1434" width="10.5703125" bestFit="1" customWidth="1"/>
    <col min="1435" max="1435" width="13.5703125" bestFit="1" customWidth="1"/>
    <col min="1436" max="1436" width="11.5703125" bestFit="1" customWidth="1"/>
    <col min="1437" max="1437" width="14.5703125" bestFit="1" customWidth="1"/>
    <col min="1438" max="1438" width="11.5703125" bestFit="1" customWidth="1"/>
    <col min="1439" max="1439" width="14.5703125" bestFit="1" customWidth="1"/>
    <col min="1440" max="1440" width="11.5703125" bestFit="1" customWidth="1"/>
    <col min="1441" max="1441" width="14.5703125" bestFit="1" customWidth="1"/>
    <col min="1442" max="1442" width="11.5703125" bestFit="1" customWidth="1"/>
    <col min="1443" max="1443" width="14.5703125" bestFit="1" customWidth="1"/>
    <col min="1444" max="1444" width="11.5703125" bestFit="1" customWidth="1"/>
    <col min="1445" max="1445" width="14.5703125" bestFit="1" customWidth="1"/>
    <col min="1446" max="1446" width="11.5703125" bestFit="1" customWidth="1"/>
    <col min="1447" max="1447" width="14.5703125" bestFit="1" customWidth="1"/>
    <col min="1448" max="1448" width="11.5703125" bestFit="1" customWidth="1"/>
    <col min="1449" max="1449" width="14.5703125" bestFit="1" customWidth="1"/>
    <col min="1450" max="1450" width="11.5703125" bestFit="1" customWidth="1"/>
    <col min="1451" max="1451" width="14.5703125" bestFit="1" customWidth="1"/>
    <col min="1452" max="1452" width="11.5703125" bestFit="1" customWidth="1"/>
    <col min="1453" max="1453" width="14.5703125" bestFit="1" customWidth="1"/>
    <col min="1454" max="1454" width="11.5703125" bestFit="1" customWidth="1"/>
    <col min="1455" max="1455" width="14.5703125" bestFit="1" customWidth="1"/>
    <col min="1456" max="1456" width="11.5703125" bestFit="1" customWidth="1"/>
    <col min="1457" max="1457" width="14.5703125" bestFit="1" customWidth="1"/>
    <col min="1458" max="1458" width="11.5703125" bestFit="1" customWidth="1"/>
    <col min="1459" max="1459" width="14.5703125" bestFit="1" customWidth="1"/>
    <col min="1460" max="1460" width="11.5703125" bestFit="1" customWidth="1"/>
    <col min="1461" max="1461" width="14.5703125" bestFit="1" customWidth="1"/>
    <col min="1462" max="1462" width="11.5703125" bestFit="1" customWidth="1"/>
    <col min="1463" max="1463" width="14.5703125" bestFit="1" customWidth="1"/>
    <col min="1464" max="1464" width="10.5703125" bestFit="1" customWidth="1"/>
    <col min="1465" max="1465" width="13.5703125" bestFit="1" customWidth="1"/>
    <col min="1466" max="1466" width="10.5703125" bestFit="1" customWidth="1"/>
    <col min="1467" max="1467" width="13.5703125" bestFit="1" customWidth="1"/>
    <col min="1468" max="1468" width="10.5703125" bestFit="1" customWidth="1"/>
    <col min="1469" max="1469" width="13.5703125" bestFit="1" customWidth="1"/>
    <col min="1470" max="1470" width="11.5703125" bestFit="1" customWidth="1"/>
    <col min="1471" max="1471" width="14.5703125" bestFit="1" customWidth="1"/>
    <col min="1472" max="1472" width="11.5703125" bestFit="1" customWidth="1"/>
    <col min="1473" max="1473" width="14.5703125" bestFit="1" customWidth="1"/>
    <col min="1474" max="1474" width="11.5703125" bestFit="1" customWidth="1"/>
    <col min="1475" max="1475" width="14.5703125" bestFit="1" customWidth="1"/>
    <col min="1476" max="1476" width="11.5703125" bestFit="1" customWidth="1"/>
    <col min="1477" max="1477" width="14.5703125" bestFit="1" customWidth="1"/>
    <col min="1478" max="1478" width="11.5703125" bestFit="1" customWidth="1"/>
    <col min="1479" max="1479" width="14.5703125" bestFit="1" customWidth="1"/>
    <col min="1480" max="1480" width="11.5703125" bestFit="1" customWidth="1"/>
    <col min="1481" max="1481" width="14.5703125" bestFit="1" customWidth="1"/>
    <col min="1482" max="1482" width="10.5703125" bestFit="1" customWidth="1"/>
    <col min="1483" max="1483" width="13.5703125" bestFit="1" customWidth="1"/>
    <col min="1484" max="1484" width="10.5703125" bestFit="1" customWidth="1"/>
    <col min="1485" max="1485" width="13.5703125" bestFit="1" customWidth="1"/>
    <col min="1486" max="1486" width="11.5703125" bestFit="1" customWidth="1"/>
    <col min="1487" max="1487" width="14.5703125" bestFit="1" customWidth="1"/>
    <col min="1488" max="1488" width="11.5703125" bestFit="1" customWidth="1"/>
    <col min="1489" max="1489" width="14.5703125" bestFit="1" customWidth="1"/>
    <col min="1490" max="1490" width="11.5703125" bestFit="1" customWidth="1"/>
    <col min="1491" max="1491" width="14.5703125" bestFit="1" customWidth="1"/>
    <col min="1492" max="1492" width="11.5703125" bestFit="1" customWidth="1"/>
    <col min="1493" max="1493" width="14.5703125" bestFit="1" customWidth="1"/>
    <col min="1494" max="1494" width="11.5703125" bestFit="1" customWidth="1"/>
    <col min="1495" max="1495" width="14.5703125" bestFit="1" customWidth="1"/>
    <col min="1496" max="1496" width="11.5703125" bestFit="1" customWidth="1"/>
    <col min="1497" max="1497" width="14.5703125" bestFit="1" customWidth="1"/>
    <col min="1498" max="1498" width="11.5703125" bestFit="1" customWidth="1"/>
    <col min="1499" max="1499" width="14.5703125" bestFit="1" customWidth="1"/>
    <col min="1500" max="1500" width="10.5703125" bestFit="1" customWidth="1"/>
    <col min="1501" max="1501" width="13.5703125" bestFit="1" customWidth="1"/>
    <col min="1502" max="1502" width="11.5703125" bestFit="1" customWidth="1"/>
    <col min="1503" max="1503" width="14.5703125" bestFit="1" customWidth="1"/>
    <col min="1504" max="1504" width="11.5703125" bestFit="1" customWidth="1"/>
    <col min="1505" max="1505" width="14.5703125" bestFit="1" customWidth="1"/>
    <col min="1506" max="1506" width="11.5703125" bestFit="1" customWidth="1"/>
    <col min="1507" max="1507" width="14.5703125" bestFit="1" customWidth="1"/>
    <col min="1508" max="1508" width="11.5703125" bestFit="1" customWidth="1"/>
    <col min="1509" max="1509" width="14.5703125" bestFit="1" customWidth="1"/>
    <col min="1510" max="1510" width="11.5703125" bestFit="1" customWidth="1"/>
    <col min="1511" max="1511" width="14.5703125" bestFit="1" customWidth="1"/>
    <col min="1512" max="1512" width="11.5703125" bestFit="1" customWidth="1"/>
    <col min="1513" max="1513" width="14.5703125" bestFit="1" customWidth="1"/>
    <col min="1514" max="1514" width="11.5703125" bestFit="1" customWidth="1"/>
    <col min="1515" max="1515" width="14.5703125" bestFit="1" customWidth="1"/>
    <col min="1516" max="1516" width="11.5703125" bestFit="1" customWidth="1"/>
    <col min="1517" max="1517" width="14.5703125" bestFit="1" customWidth="1"/>
    <col min="1518" max="1518" width="11.5703125" bestFit="1" customWidth="1"/>
    <col min="1519" max="1519" width="14.5703125" bestFit="1" customWidth="1"/>
    <col min="1520" max="1520" width="12.5703125" bestFit="1" customWidth="1"/>
    <col min="1521" max="1521" width="15.5703125" bestFit="1" customWidth="1"/>
    <col min="1522" max="1522" width="12.5703125" bestFit="1" customWidth="1"/>
    <col min="1523" max="1523" width="15.5703125" bestFit="1" customWidth="1"/>
    <col min="1524" max="1524" width="12.5703125" bestFit="1" customWidth="1"/>
    <col min="1525" max="1525" width="15.5703125" bestFit="1" customWidth="1"/>
    <col min="1526" max="1526" width="12.5703125" bestFit="1" customWidth="1"/>
    <col min="1527" max="1527" width="15.5703125" bestFit="1" customWidth="1"/>
    <col min="1528" max="1528" width="12.5703125" bestFit="1" customWidth="1"/>
    <col min="1529" max="1529" width="15.5703125" bestFit="1" customWidth="1"/>
    <col min="1530" max="1530" width="12.5703125" bestFit="1" customWidth="1"/>
    <col min="1531" max="1531" width="15.5703125" bestFit="1" customWidth="1"/>
    <col min="1532" max="1532" width="12.5703125" bestFit="1" customWidth="1"/>
    <col min="1533" max="1533" width="15.5703125" bestFit="1" customWidth="1"/>
    <col min="1534" max="1534" width="11.5703125" bestFit="1" customWidth="1"/>
    <col min="1535" max="1535" width="14.5703125" bestFit="1" customWidth="1"/>
    <col min="1536" max="1536" width="11.5703125" bestFit="1" customWidth="1"/>
    <col min="1537" max="1537" width="14.5703125" bestFit="1" customWidth="1"/>
    <col min="1538" max="1538" width="12.5703125" bestFit="1" customWidth="1"/>
    <col min="1539" max="1539" width="15.5703125" bestFit="1" customWidth="1"/>
    <col min="1540" max="1540" width="12.5703125" bestFit="1" customWidth="1"/>
    <col min="1541" max="1541" width="15.5703125" bestFit="1" customWidth="1"/>
    <col min="1542" max="1542" width="12.5703125" bestFit="1" customWidth="1"/>
    <col min="1543" max="1543" width="15.5703125" bestFit="1" customWidth="1"/>
    <col min="1544" max="1544" width="12.5703125" bestFit="1" customWidth="1"/>
    <col min="1545" max="1545" width="15.5703125" bestFit="1" customWidth="1"/>
    <col min="1546" max="1546" width="12.5703125" bestFit="1" customWidth="1"/>
    <col min="1547" max="1547" width="15.5703125" bestFit="1" customWidth="1"/>
    <col min="1548" max="1548" width="12.5703125" bestFit="1" customWidth="1"/>
    <col min="1549" max="1549" width="15.5703125" bestFit="1" customWidth="1"/>
    <col min="1550" max="1550" width="12.5703125" bestFit="1" customWidth="1"/>
    <col min="1551" max="1551" width="15.5703125" bestFit="1" customWidth="1"/>
    <col min="1552" max="1552" width="11.5703125" bestFit="1" customWidth="1"/>
    <col min="1553" max="1553" width="14.5703125" bestFit="1" customWidth="1"/>
    <col min="1554" max="1554" width="11.5703125" bestFit="1" customWidth="1"/>
    <col min="1555" max="1555" width="14.5703125" bestFit="1" customWidth="1"/>
    <col min="1556" max="1556" width="11.5703125" bestFit="1" customWidth="1"/>
    <col min="1557" max="1557" width="14.5703125" bestFit="1" customWidth="1"/>
    <col min="1558" max="1558" width="12.5703125" bestFit="1" customWidth="1"/>
    <col min="1559" max="1559" width="15.5703125" bestFit="1" customWidth="1"/>
    <col min="1560" max="1560" width="12.5703125" bestFit="1" customWidth="1"/>
    <col min="1561" max="1561" width="15.5703125" bestFit="1" customWidth="1"/>
    <col min="1562" max="1562" width="12.5703125" bestFit="1" customWidth="1"/>
    <col min="1563" max="1563" width="15.5703125" bestFit="1" customWidth="1"/>
    <col min="1564" max="1564" width="12.5703125" bestFit="1" customWidth="1"/>
    <col min="1565" max="1565" width="15.5703125" bestFit="1" customWidth="1"/>
    <col min="1566" max="1566" width="12.5703125" bestFit="1" customWidth="1"/>
    <col min="1567" max="1567" width="15.5703125" bestFit="1" customWidth="1"/>
    <col min="1568" max="1568" width="12.5703125" bestFit="1" customWidth="1"/>
    <col min="1569" max="1569" width="15.5703125" bestFit="1" customWidth="1"/>
    <col min="1570" max="1570" width="12.5703125" bestFit="1" customWidth="1"/>
    <col min="1571" max="1571" width="15.5703125" bestFit="1" customWidth="1"/>
    <col min="1572" max="1572" width="12.5703125" bestFit="1" customWidth="1"/>
    <col min="1573" max="1573" width="15.5703125" bestFit="1" customWidth="1"/>
    <col min="1574" max="1574" width="10.5703125" bestFit="1" customWidth="1"/>
    <col min="1575" max="1575" width="13.5703125" bestFit="1" customWidth="1"/>
    <col min="1576" max="1576" width="10.5703125" bestFit="1" customWidth="1"/>
    <col min="1577" max="1577" width="13.5703125" bestFit="1" customWidth="1"/>
    <col min="1578" max="1578" width="10.5703125" bestFit="1" customWidth="1"/>
    <col min="1579" max="1579" width="13.5703125" bestFit="1" customWidth="1"/>
    <col min="1580" max="1580" width="10.5703125" bestFit="1" customWidth="1"/>
    <col min="1581" max="1581" width="13.5703125" bestFit="1" customWidth="1"/>
    <col min="1582" max="1582" width="11.5703125" bestFit="1" customWidth="1"/>
    <col min="1583" max="1583" width="14.5703125" bestFit="1" customWidth="1"/>
    <col min="1584" max="1584" width="11.5703125" bestFit="1" customWidth="1"/>
    <col min="1585" max="1585" width="14.5703125" bestFit="1" customWidth="1"/>
    <col min="1586" max="1586" width="11.5703125" bestFit="1" customWidth="1"/>
    <col min="1587" max="1587" width="14.5703125" bestFit="1" customWidth="1"/>
    <col min="1588" max="1588" width="11.5703125" bestFit="1" customWidth="1"/>
    <col min="1589" max="1589" width="14.5703125" bestFit="1" customWidth="1"/>
    <col min="1590" max="1590" width="11.5703125" bestFit="1" customWidth="1"/>
    <col min="1591" max="1591" width="14.5703125" bestFit="1" customWidth="1"/>
    <col min="1592" max="1592" width="11.5703125" bestFit="1" customWidth="1"/>
    <col min="1593" max="1593" width="14.5703125" bestFit="1" customWidth="1"/>
    <col min="1594" max="1594" width="11.5703125" bestFit="1" customWidth="1"/>
    <col min="1595" max="1595" width="14.5703125" bestFit="1" customWidth="1"/>
    <col min="1596" max="1596" width="10.5703125" bestFit="1" customWidth="1"/>
    <col min="1597" max="1597" width="13.5703125" bestFit="1" customWidth="1"/>
    <col min="1598" max="1598" width="11.5703125" bestFit="1" customWidth="1"/>
    <col min="1599" max="1599" width="14.5703125" bestFit="1" customWidth="1"/>
    <col min="1600" max="1600" width="10.5703125" bestFit="1" customWidth="1"/>
    <col min="1601" max="1601" width="13.5703125" bestFit="1" customWidth="1"/>
    <col min="1602" max="1602" width="10.5703125" bestFit="1" customWidth="1"/>
    <col min="1603" max="1603" width="13.5703125" bestFit="1" customWidth="1"/>
    <col min="1604" max="1604" width="10.5703125" bestFit="1" customWidth="1"/>
    <col min="1605" max="1605" width="13.5703125" bestFit="1" customWidth="1"/>
    <col min="1606" max="1606" width="10.5703125" bestFit="1" customWidth="1"/>
    <col min="1607" max="1607" width="13.5703125" bestFit="1" customWidth="1"/>
    <col min="1608" max="1608" width="11.5703125" bestFit="1" customWidth="1"/>
    <col min="1609" max="1609" width="14.5703125" bestFit="1" customWidth="1"/>
    <col min="1610" max="1610" width="11.5703125" bestFit="1" customWidth="1"/>
    <col min="1611" max="1611" width="14.5703125" bestFit="1" customWidth="1"/>
    <col min="1612" max="1612" width="11.5703125" bestFit="1" customWidth="1"/>
    <col min="1613" max="1613" width="14.5703125" bestFit="1" customWidth="1"/>
    <col min="1614" max="1614" width="11.5703125" bestFit="1" customWidth="1"/>
    <col min="1615" max="1615" width="14.5703125" bestFit="1" customWidth="1"/>
    <col min="1616" max="1616" width="11.5703125" bestFit="1" customWidth="1"/>
    <col min="1617" max="1617" width="14.5703125" bestFit="1" customWidth="1"/>
    <col min="1618" max="1618" width="10.5703125" bestFit="1" customWidth="1"/>
    <col min="1619" max="1619" width="13.5703125" bestFit="1" customWidth="1"/>
    <col min="1620" max="1620" width="10.5703125" bestFit="1" customWidth="1"/>
    <col min="1621" max="1621" width="13.5703125" bestFit="1" customWidth="1"/>
    <col min="1622" max="1622" width="10.5703125" bestFit="1" customWidth="1"/>
    <col min="1623" max="1623" width="13.5703125" bestFit="1" customWidth="1"/>
    <col min="1624" max="1624" width="10.5703125" bestFit="1" customWidth="1"/>
    <col min="1625" max="1625" width="13.5703125" bestFit="1" customWidth="1"/>
    <col min="1626" max="1626" width="11.5703125" bestFit="1" customWidth="1"/>
    <col min="1627" max="1627" width="14.5703125" bestFit="1" customWidth="1"/>
    <col min="1628" max="1628" width="11.5703125" bestFit="1" customWidth="1"/>
    <col min="1629" max="1629" width="14.5703125" bestFit="1" customWidth="1"/>
    <col min="1630" max="1630" width="11.5703125" bestFit="1" customWidth="1"/>
    <col min="1631" max="1631" width="14.5703125" bestFit="1" customWidth="1"/>
    <col min="1632" max="1632" width="11.5703125" bestFit="1" customWidth="1"/>
    <col min="1633" max="1633" width="14.5703125" bestFit="1" customWidth="1"/>
    <col min="1634" max="1634" width="11.5703125" bestFit="1" customWidth="1"/>
    <col min="1635" max="1635" width="14.5703125" bestFit="1" customWidth="1"/>
    <col min="1636" max="1636" width="11.5703125" bestFit="1" customWidth="1"/>
    <col min="1637" max="1637" width="14.5703125" bestFit="1" customWidth="1"/>
    <col min="1638" max="1638" width="11.5703125" bestFit="1" customWidth="1"/>
    <col min="1639" max="1639" width="14.5703125" bestFit="1" customWidth="1"/>
    <col min="1640" max="1640" width="10.5703125" bestFit="1" customWidth="1"/>
    <col min="1641" max="1641" width="13.5703125" bestFit="1" customWidth="1"/>
    <col min="1642" max="1642" width="10.5703125" bestFit="1" customWidth="1"/>
    <col min="1643" max="1643" width="13.5703125" bestFit="1" customWidth="1"/>
    <col min="1644" max="1644" width="10.5703125" bestFit="1" customWidth="1"/>
    <col min="1645" max="1645" width="13.5703125" bestFit="1" customWidth="1"/>
    <col min="1646" max="1646" width="11.5703125" bestFit="1" customWidth="1"/>
    <col min="1647" max="1647" width="14.5703125" bestFit="1" customWidth="1"/>
    <col min="1648" max="1648" width="11.5703125" bestFit="1" customWidth="1"/>
    <col min="1649" max="1649" width="14.5703125" bestFit="1" customWidth="1"/>
    <col min="1650" max="1650" width="11.5703125" bestFit="1" customWidth="1"/>
    <col min="1651" max="1651" width="14.5703125" bestFit="1" customWidth="1"/>
    <col min="1652" max="1652" width="11.5703125" bestFit="1" customWidth="1"/>
    <col min="1653" max="1653" width="14.5703125" bestFit="1" customWidth="1"/>
    <col min="1654" max="1654" width="11.5703125" bestFit="1" customWidth="1"/>
    <col min="1655" max="1655" width="14.5703125" bestFit="1" customWidth="1"/>
    <col min="1656" max="1656" width="11.5703125" bestFit="1" customWidth="1"/>
    <col min="1657" max="1657" width="14.5703125" bestFit="1" customWidth="1"/>
    <col min="1658" max="1658" width="11.5703125" bestFit="1" customWidth="1"/>
    <col min="1659" max="1659" width="14.5703125" bestFit="1" customWidth="1"/>
    <col min="1660" max="1660" width="10.5703125" bestFit="1" customWidth="1"/>
    <col min="1661" max="1661" width="13.5703125" bestFit="1" customWidth="1"/>
    <col min="1662" max="1662" width="10.5703125" bestFit="1" customWidth="1"/>
    <col min="1663" max="1663" width="13.5703125" bestFit="1" customWidth="1"/>
    <col min="1664" max="1664" width="11.5703125" bestFit="1" customWidth="1"/>
    <col min="1665" max="1665" width="14.5703125" bestFit="1" customWidth="1"/>
    <col min="1666" max="1666" width="11.5703125" bestFit="1" customWidth="1"/>
    <col min="1667" max="1667" width="14.5703125" bestFit="1" customWidth="1"/>
    <col min="1668" max="1668" width="11.5703125" bestFit="1" customWidth="1"/>
    <col min="1669" max="1669" width="14.5703125" bestFit="1" customWidth="1"/>
    <col min="1670" max="1670" width="11.5703125" bestFit="1" customWidth="1"/>
    <col min="1671" max="1671" width="14.5703125" bestFit="1" customWidth="1"/>
    <col min="1672" max="1672" width="11.5703125" bestFit="1" customWidth="1"/>
    <col min="1673" max="1673" width="14.5703125" bestFit="1" customWidth="1"/>
    <col min="1674" max="1674" width="11.5703125" bestFit="1" customWidth="1"/>
    <col min="1675" max="1675" width="14.5703125" bestFit="1" customWidth="1"/>
    <col min="1676" max="1676" width="10.5703125" bestFit="1" customWidth="1"/>
    <col min="1677" max="1677" width="13.5703125" bestFit="1" customWidth="1"/>
    <col min="1678" max="1678" width="10.5703125" bestFit="1" customWidth="1"/>
    <col min="1679" max="1679" width="13.5703125" bestFit="1" customWidth="1"/>
    <col min="1680" max="1680" width="11.5703125" bestFit="1" customWidth="1"/>
    <col min="1681" max="1681" width="14.5703125" bestFit="1" customWidth="1"/>
    <col min="1682" max="1682" width="11.5703125" bestFit="1" customWidth="1"/>
    <col min="1683" max="1683" width="14.5703125" bestFit="1" customWidth="1"/>
    <col min="1684" max="1684" width="11.5703125" bestFit="1" customWidth="1"/>
    <col min="1685" max="1685" width="14.5703125" bestFit="1" customWidth="1"/>
    <col min="1686" max="1686" width="11.5703125" bestFit="1" customWidth="1"/>
    <col min="1687" max="1687" width="14.5703125" bestFit="1" customWidth="1"/>
    <col min="1688" max="1688" width="11.5703125" bestFit="1" customWidth="1"/>
    <col min="1689" max="1689" width="14.5703125" bestFit="1" customWidth="1"/>
    <col min="1690" max="1690" width="10.5703125" bestFit="1" customWidth="1"/>
    <col min="1691" max="1691" width="13.5703125" bestFit="1" customWidth="1"/>
    <col min="1692" max="1692" width="11.5703125" bestFit="1" customWidth="1"/>
    <col min="1693" max="1693" width="14.5703125" bestFit="1" customWidth="1"/>
    <col min="1694" max="1694" width="11.5703125" bestFit="1" customWidth="1"/>
    <col min="1695" max="1695" width="14.5703125" bestFit="1" customWidth="1"/>
    <col min="1696" max="1696" width="11.5703125" bestFit="1" customWidth="1"/>
    <col min="1697" max="1697" width="14.5703125" bestFit="1" customWidth="1"/>
    <col min="1698" max="1698" width="11.5703125" bestFit="1" customWidth="1"/>
    <col min="1699" max="1699" width="14.5703125" bestFit="1" customWidth="1"/>
    <col min="1700" max="1700" width="11.5703125" bestFit="1" customWidth="1"/>
    <col min="1701" max="1701" width="14.5703125" bestFit="1" customWidth="1"/>
    <col min="1702" max="1702" width="11.5703125" bestFit="1" customWidth="1"/>
    <col min="1703" max="1703" width="14.5703125" bestFit="1" customWidth="1"/>
    <col min="1704" max="1704" width="11.5703125" bestFit="1" customWidth="1"/>
    <col min="1705" max="1705" width="14.5703125" bestFit="1" customWidth="1"/>
    <col min="1706" max="1706" width="11.5703125" bestFit="1" customWidth="1"/>
    <col min="1707" max="1707" width="14.5703125" bestFit="1" customWidth="1"/>
    <col min="1708" max="1708" width="11.5703125" bestFit="1" customWidth="1"/>
    <col min="1709" max="1709" width="14.5703125" bestFit="1" customWidth="1"/>
    <col min="1710" max="1710" width="12.5703125" bestFit="1" customWidth="1"/>
    <col min="1711" max="1711" width="15.5703125" bestFit="1" customWidth="1"/>
    <col min="1712" max="1712" width="12.5703125" bestFit="1" customWidth="1"/>
    <col min="1713" max="1713" width="15.5703125" bestFit="1" customWidth="1"/>
    <col min="1714" max="1714" width="12.5703125" bestFit="1" customWidth="1"/>
    <col min="1715" max="1715" width="15.5703125" bestFit="1" customWidth="1"/>
    <col min="1716" max="1716" width="12.5703125" bestFit="1" customWidth="1"/>
    <col min="1717" max="1717" width="15.5703125" bestFit="1" customWidth="1"/>
    <col min="1718" max="1718" width="12.5703125" bestFit="1" customWidth="1"/>
    <col min="1719" max="1719" width="15.5703125" bestFit="1" customWidth="1"/>
    <col min="1720" max="1720" width="12.5703125" bestFit="1" customWidth="1"/>
    <col min="1721" max="1721" width="15.5703125" bestFit="1" customWidth="1"/>
    <col min="1722" max="1722" width="12.5703125" bestFit="1" customWidth="1"/>
    <col min="1723" max="1723" width="15.5703125" bestFit="1" customWidth="1"/>
    <col min="1724" max="1724" width="11.5703125" bestFit="1" customWidth="1"/>
    <col min="1725" max="1725" width="14.5703125" bestFit="1" customWidth="1"/>
    <col min="1726" max="1726" width="11.5703125" bestFit="1" customWidth="1"/>
    <col min="1727" max="1727" width="14.5703125" bestFit="1" customWidth="1"/>
    <col min="1728" max="1728" width="11.5703125" bestFit="1" customWidth="1"/>
    <col min="1729" max="1729" width="14.5703125" bestFit="1" customWidth="1"/>
    <col min="1730" max="1730" width="12.5703125" bestFit="1" customWidth="1"/>
    <col min="1731" max="1731" width="15.5703125" bestFit="1" customWidth="1"/>
    <col min="1732" max="1732" width="12.5703125" bestFit="1" customWidth="1"/>
    <col min="1733" max="1733" width="15.5703125" bestFit="1" customWidth="1"/>
    <col min="1734" max="1734" width="12.5703125" bestFit="1" customWidth="1"/>
    <col min="1735" max="1735" width="15.5703125" bestFit="1" customWidth="1"/>
    <col min="1736" max="1736" width="12.5703125" bestFit="1" customWidth="1"/>
    <col min="1737" max="1737" width="15.5703125" bestFit="1" customWidth="1"/>
    <col min="1738" max="1738" width="12.5703125" bestFit="1" customWidth="1"/>
    <col min="1739" max="1739" width="15.5703125" bestFit="1" customWidth="1"/>
    <col min="1740" max="1740" width="12.5703125" bestFit="1" customWidth="1"/>
    <col min="1741" max="1741" width="15.5703125" bestFit="1" customWidth="1"/>
    <col min="1742" max="1742" width="12.5703125" bestFit="1" customWidth="1"/>
    <col min="1743" max="1743" width="15.5703125" bestFit="1" customWidth="1"/>
    <col min="1744" max="1744" width="12.5703125" bestFit="1" customWidth="1"/>
    <col min="1745" max="1745" width="15.5703125" bestFit="1" customWidth="1"/>
    <col min="1746" max="1746" width="12.5703125" bestFit="1" customWidth="1"/>
    <col min="1747" max="1747" width="15.5703125" bestFit="1" customWidth="1"/>
    <col min="1748" max="1748" width="11.5703125" bestFit="1" customWidth="1"/>
    <col min="1749" max="1749" width="14.5703125" bestFit="1" customWidth="1"/>
    <col min="1750" max="1750" width="11.5703125" bestFit="1" customWidth="1"/>
    <col min="1751" max="1751" width="14.5703125" bestFit="1" customWidth="1"/>
    <col min="1752" max="1752" width="11.5703125" bestFit="1" customWidth="1"/>
    <col min="1753" max="1753" width="14.5703125" bestFit="1" customWidth="1"/>
    <col min="1754" max="1754" width="12.5703125" bestFit="1" customWidth="1"/>
    <col min="1755" max="1755" width="15.5703125" bestFit="1" customWidth="1"/>
    <col min="1756" max="1756" width="12.5703125" bestFit="1" customWidth="1"/>
    <col min="1757" max="1757" width="15.5703125" bestFit="1" customWidth="1"/>
    <col min="1758" max="1758" width="12.5703125" bestFit="1" customWidth="1"/>
    <col min="1759" max="1759" width="15.5703125" bestFit="1" customWidth="1"/>
    <col min="1760" max="1760" width="12.5703125" bestFit="1" customWidth="1"/>
    <col min="1761" max="1761" width="15.5703125" bestFit="1" customWidth="1"/>
    <col min="1762" max="1762" width="12.5703125" bestFit="1" customWidth="1"/>
    <col min="1763" max="1763" width="15.5703125" bestFit="1" customWidth="1"/>
    <col min="1764" max="1764" width="12.5703125" bestFit="1" customWidth="1"/>
    <col min="1765" max="1765" width="15.5703125" bestFit="1" customWidth="1"/>
    <col min="1766" max="1766" width="12.5703125" bestFit="1" customWidth="1"/>
    <col min="1767" max="1767" width="15.5703125" bestFit="1" customWidth="1"/>
    <col min="1768" max="1768" width="12.5703125" bestFit="1" customWidth="1"/>
    <col min="1769" max="1769" width="15.5703125" bestFit="1" customWidth="1"/>
    <col min="1770" max="1770" width="12.5703125" bestFit="1" customWidth="1"/>
    <col min="1771" max="1771" width="15.5703125" bestFit="1" customWidth="1"/>
    <col min="1772" max="1772" width="12.85546875" bestFit="1" customWidth="1"/>
    <col min="1773" max="1773" width="15.85546875" bestFit="1" customWidth="1"/>
    <col min="1774" max="1774" width="12.5703125" bestFit="1" customWidth="1"/>
  </cols>
  <sheetData>
    <row r="1" spans="1:15" x14ac:dyDescent="0.25">
      <c r="A1" s="31" t="s">
        <v>1456</v>
      </c>
      <c r="B1" s="31" t="s">
        <v>1382</v>
      </c>
    </row>
    <row r="2" spans="1:15" x14ac:dyDescent="0.25">
      <c r="A2" s="31" t="s">
        <v>1348</v>
      </c>
      <c r="B2" t="s">
        <v>27</v>
      </c>
      <c r="C2" t="s">
        <v>54</v>
      </c>
      <c r="D2" t="s">
        <v>79</v>
      </c>
      <c r="E2" t="s">
        <v>42</v>
      </c>
      <c r="F2" t="s">
        <v>31</v>
      </c>
      <c r="G2" t="s">
        <v>45</v>
      </c>
      <c r="H2" t="s">
        <v>51</v>
      </c>
      <c r="I2" t="s">
        <v>35</v>
      </c>
      <c r="J2" t="s">
        <v>19</v>
      </c>
      <c r="K2" t="s">
        <v>38</v>
      </c>
      <c r="L2" t="s">
        <v>48</v>
      </c>
      <c r="M2" t="s">
        <v>81</v>
      </c>
      <c r="N2" t="s">
        <v>1429</v>
      </c>
      <c r="O2" t="s">
        <v>1349</v>
      </c>
    </row>
    <row r="3" spans="1:15" x14ac:dyDescent="0.25">
      <c r="A3" s="75" t="s">
        <v>1449</v>
      </c>
      <c r="B3" s="76">
        <v>6</v>
      </c>
      <c r="C3" s="76">
        <v>9</v>
      </c>
      <c r="D3" s="76">
        <v>9</v>
      </c>
      <c r="E3" s="76">
        <v>11</v>
      </c>
      <c r="F3" s="76">
        <v>5</v>
      </c>
      <c r="G3" s="76">
        <v>16</v>
      </c>
      <c r="H3" s="76">
        <v>13</v>
      </c>
      <c r="I3" s="76">
        <v>9</v>
      </c>
      <c r="J3" s="76">
        <v>14</v>
      </c>
      <c r="K3" s="76">
        <v>10</v>
      </c>
      <c r="L3" s="76">
        <v>15</v>
      </c>
      <c r="M3" s="76">
        <v>4</v>
      </c>
      <c r="N3" s="76"/>
      <c r="O3" s="76">
        <v>121</v>
      </c>
    </row>
    <row r="4" spans="1:15" x14ac:dyDescent="0.25">
      <c r="A4" s="75" t="s">
        <v>1452</v>
      </c>
      <c r="B4" s="76">
        <v>11</v>
      </c>
      <c r="C4" s="76">
        <v>12</v>
      </c>
      <c r="D4" s="76">
        <v>6</v>
      </c>
      <c r="E4" s="76">
        <v>10</v>
      </c>
      <c r="F4" s="76">
        <v>14</v>
      </c>
      <c r="G4" s="76">
        <v>13</v>
      </c>
      <c r="H4" s="76">
        <v>15</v>
      </c>
      <c r="I4" s="76">
        <v>11</v>
      </c>
      <c r="J4" s="76">
        <v>15</v>
      </c>
      <c r="K4" s="76">
        <v>15</v>
      </c>
      <c r="L4" s="76">
        <v>12</v>
      </c>
      <c r="M4" s="76">
        <v>11</v>
      </c>
      <c r="N4" s="76"/>
      <c r="O4" s="76">
        <v>145</v>
      </c>
    </row>
    <row r="5" spans="1:15" x14ac:dyDescent="0.25">
      <c r="A5" s="75" t="s">
        <v>1453</v>
      </c>
      <c r="B5" s="76">
        <v>6</v>
      </c>
      <c r="C5" s="76">
        <v>10</v>
      </c>
      <c r="D5" s="76">
        <v>11</v>
      </c>
      <c r="E5" s="76">
        <v>10</v>
      </c>
      <c r="F5" s="76">
        <v>12</v>
      </c>
      <c r="G5" s="76">
        <v>15</v>
      </c>
      <c r="H5" s="76">
        <v>13</v>
      </c>
      <c r="I5" s="76">
        <v>15</v>
      </c>
      <c r="J5" s="76">
        <v>15</v>
      </c>
      <c r="K5" s="76">
        <v>12</v>
      </c>
      <c r="L5" s="76">
        <v>13</v>
      </c>
      <c r="M5" s="76">
        <v>21</v>
      </c>
      <c r="N5" s="76"/>
      <c r="O5" s="76">
        <v>153</v>
      </c>
    </row>
    <row r="6" spans="1:15" x14ac:dyDescent="0.25">
      <c r="A6" s="75" t="s">
        <v>1450</v>
      </c>
      <c r="B6" s="76">
        <v>8</v>
      </c>
      <c r="C6" s="76">
        <v>13</v>
      </c>
      <c r="D6" s="76">
        <v>13</v>
      </c>
      <c r="E6" s="76">
        <v>9</v>
      </c>
      <c r="F6" s="76">
        <v>13</v>
      </c>
      <c r="G6" s="76">
        <v>13</v>
      </c>
      <c r="H6" s="76">
        <v>20</v>
      </c>
      <c r="I6" s="76">
        <v>12</v>
      </c>
      <c r="J6" s="76">
        <v>9</v>
      </c>
      <c r="K6" s="76">
        <v>8</v>
      </c>
      <c r="L6" s="76">
        <v>11</v>
      </c>
      <c r="M6" s="76">
        <v>10</v>
      </c>
      <c r="N6" s="76"/>
      <c r="O6" s="76">
        <v>139</v>
      </c>
    </row>
    <row r="7" spans="1:15" x14ac:dyDescent="0.25">
      <c r="A7" s="75" t="s">
        <v>1454</v>
      </c>
      <c r="B7" s="76">
        <v>17</v>
      </c>
      <c r="C7" s="76">
        <v>12</v>
      </c>
      <c r="D7" s="76">
        <v>16</v>
      </c>
      <c r="E7" s="76">
        <v>12</v>
      </c>
      <c r="F7" s="76">
        <v>11</v>
      </c>
      <c r="G7" s="76">
        <v>8</v>
      </c>
      <c r="H7" s="76">
        <v>17</v>
      </c>
      <c r="I7" s="76">
        <v>17</v>
      </c>
      <c r="J7" s="76">
        <v>16</v>
      </c>
      <c r="K7" s="76">
        <v>17</v>
      </c>
      <c r="L7" s="76">
        <v>11</v>
      </c>
      <c r="M7" s="76">
        <v>8</v>
      </c>
      <c r="N7" s="76"/>
      <c r="O7" s="76">
        <v>162</v>
      </c>
    </row>
    <row r="8" spans="1:15" x14ac:dyDescent="0.25">
      <c r="A8" s="75" t="s">
        <v>1455</v>
      </c>
      <c r="B8" s="76">
        <v>9</v>
      </c>
      <c r="C8" s="76">
        <v>12</v>
      </c>
      <c r="D8" s="76">
        <v>11</v>
      </c>
      <c r="E8" s="76">
        <v>11</v>
      </c>
      <c r="F8" s="76">
        <v>10</v>
      </c>
      <c r="G8" s="76">
        <v>14</v>
      </c>
      <c r="H8" s="76">
        <v>16</v>
      </c>
      <c r="I8" s="76">
        <v>14</v>
      </c>
      <c r="J8" s="76">
        <v>15</v>
      </c>
      <c r="K8" s="76">
        <v>8</v>
      </c>
      <c r="L8" s="76">
        <v>15</v>
      </c>
      <c r="M8" s="76">
        <v>9</v>
      </c>
      <c r="N8" s="76"/>
      <c r="O8" s="76">
        <v>144</v>
      </c>
    </row>
    <row r="9" spans="1:15" x14ac:dyDescent="0.25">
      <c r="A9" s="75" t="s">
        <v>1451</v>
      </c>
      <c r="B9" s="76">
        <v>8</v>
      </c>
      <c r="C9" s="76">
        <v>10</v>
      </c>
      <c r="D9" s="76">
        <v>7</v>
      </c>
      <c r="E9" s="76">
        <v>13</v>
      </c>
      <c r="F9" s="76">
        <v>14</v>
      </c>
      <c r="G9" s="76">
        <v>11</v>
      </c>
      <c r="H9" s="76">
        <v>9</v>
      </c>
      <c r="I9" s="76">
        <v>15</v>
      </c>
      <c r="J9" s="76">
        <v>4</v>
      </c>
      <c r="K9" s="76">
        <v>15</v>
      </c>
      <c r="L9" s="76">
        <v>11</v>
      </c>
      <c r="M9" s="76">
        <v>19</v>
      </c>
      <c r="N9" s="76"/>
      <c r="O9" s="76">
        <v>136</v>
      </c>
    </row>
    <row r="10" spans="1:15" x14ac:dyDescent="0.25">
      <c r="A10" s="75" t="s">
        <v>1429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</row>
    <row r="11" spans="1:15" x14ac:dyDescent="0.25">
      <c r="A11" s="32" t="s">
        <v>1349</v>
      </c>
      <c r="B11" s="3">
        <v>65</v>
      </c>
      <c r="C11" s="3">
        <v>78</v>
      </c>
      <c r="D11" s="3">
        <v>73</v>
      </c>
      <c r="E11" s="3">
        <v>76</v>
      </c>
      <c r="F11" s="3">
        <v>79</v>
      </c>
      <c r="G11" s="3">
        <v>90</v>
      </c>
      <c r="H11" s="3">
        <v>103</v>
      </c>
      <c r="I11" s="3">
        <v>93</v>
      </c>
      <c r="J11" s="3">
        <v>88</v>
      </c>
      <c r="K11" s="3">
        <v>85</v>
      </c>
      <c r="L11" s="3">
        <v>88</v>
      </c>
      <c r="M11" s="3">
        <v>82</v>
      </c>
      <c r="N11" s="3"/>
      <c r="O11" s="3">
        <v>1000</v>
      </c>
    </row>
    <row r="13" spans="1:15" x14ac:dyDescent="0.25">
      <c r="M13">
        <v>1000</v>
      </c>
    </row>
    <row r="14" spans="1:15" x14ac:dyDescent="0.25">
      <c r="M14">
        <v>162</v>
      </c>
      <c r="N14" s="37">
        <f>M14/M13</f>
        <v>0.16200000000000001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47C89-6CF2-49F8-87FC-B9C646CE1218}">
  <sheetPr codeName="Hoja14"/>
  <dimension ref="A3:N29"/>
  <sheetViews>
    <sheetView workbookViewId="0">
      <selection activeCell="S10" sqref="S10"/>
    </sheetView>
  </sheetViews>
  <sheetFormatPr baseColWidth="10" defaultRowHeight="15" x14ac:dyDescent="0.25"/>
  <cols>
    <col min="1" max="1" width="19.28515625" bestFit="1" customWidth="1"/>
    <col min="2" max="2" width="7.5703125" bestFit="1" customWidth="1"/>
    <col min="3" max="3" width="12.42578125" bestFit="1" customWidth="1"/>
    <col min="4" max="4" width="8.5703125" bestFit="1" customWidth="1"/>
    <col min="5" max="5" width="7" bestFit="1" customWidth="1"/>
    <col min="6" max="6" width="17" bestFit="1" customWidth="1"/>
    <col min="7" max="7" width="11.5703125" bestFit="1" customWidth="1"/>
    <col min="8" max="8" width="12" bestFit="1" customWidth="1"/>
    <col min="9" max="9" width="14.42578125" bestFit="1" customWidth="1"/>
    <col min="10" max="10" width="14.5703125" bestFit="1" customWidth="1"/>
    <col min="11" max="12" width="11.42578125" bestFit="1" customWidth="1"/>
    <col min="13" max="13" width="16.7109375" bestFit="1" customWidth="1"/>
    <col min="14" max="15" width="12.5703125" bestFit="1" customWidth="1"/>
    <col min="16" max="16" width="12.42578125" bestFit="1" customWidth="1"/>
    <col min="17" max="17" width="8.5703125" bestFit="1" customWidth="1"/>
    <col min="18" max="18" width="7" bestFit="1" customWidth="1"/>
    <col min="19" max="19" width="17" bestFit="1" customWidth="1"/>
    <col min="20" max="20" width="11.5703125" bestFit="1" customWidth="1"/>
    <col min="21" max="21" width="12" bestFit="1" customWidth="1"/>
    <col min="22" max="22" width="14.42578125" bestFit="1" customWidth="1"/>
    <col min="23" max="23" width="14.5703125" bestFit="1" customWidth="1"/>
    <col min="24" max="25" width="11.42578125" bestFit="1" customWidth="1"/>
    <col min="26" max="26" width="16.7109375" bestFit="1" customWidth="1"/>
    <col min="27" max="27" width="15.5703125" bestFit="1" customWidth="1"/>
    <col min="28" max="28" width="19.5703125" bestFit="1" customWidth="1"/>
    <col min="29" max="29" width="12.42578125" bestFit="1" customWidth="1"/>
    <col min="30" max="30" width="8.5703125" bestFit="1" customWidth="1"/>
    <col min="31" max="31" width="7" bestFit="1" customWidth="1"/>
    <col min="32" max="32" width="17" bestFit="1" customWidth="1"/>
    <col min="33" max="33" width="11.5703125" bestFit="1" customWidth="1"/>
    <col min="34" max="34" width="12" bestFit="1" customWidth="1"/>
    <col min="35" max="35" width="14.42578125" bestFit="1" customWidth="1"/>
    <col min="36" max="36" width="14.5703125" bestFit="1" customWidth="1"/>
    <col min="37" max="38" width="11.42578125" bestFit="1" customWidth="1"/>
    <col min="39" max="39" width="16.7109375" bestFit="1" customWidth="1"/>
    <col min="40" max="40" width="22.7109375" bestFit="1" customWidth="1"/>
    <col min="41" max="41" width="9" bestFit="1" customWidth="1"/>
    <col min="42" max="42" width="12.42578125" bestFit="1" customWidth="1"/>
    <col min="43" max="43" width="8.5703125" bestFit="1" customWidth="1"/>
    <col min="44" max="44" width="7" bestFit="1" customWidth="1"/>
    <col min="45" max="45" width="17" bestFit="1" customWidth="1"/>
    <col min="46" max="46" width="11.5703125" bestFit="1" customWidth="1"/>
    <col min="47" max="47" width="12" bestFit="1" customWidth="1"/>
    <col min="48" max="48" width="14.42578125" bestFit="1" customWidth="1"/>
    <col min="49" max="49" width="14.5703125" bestFit="1" customWidth="1"/>
    <col min="50" max="51" width="11.42578125" bestFit="1" customWidth="1"/>
    <col min="52" max="52" width="16.7109375" bestFit="1" customWidth="1"/>
    <col min="53" max="53" width="12" bestFit="1" customWidth="1"/>
    <col min="54" max="54" width="11.85546875" bestFit="1" customWidth="1"/>
    <col min="55" max="55" width="12.42578125" bestFit="1" customWidth="1"/>
    <col min="56" max="56" width="8.5703125" bestFit="1" customWidth="1"/>
    <col min="57" max="57" width="7" bestFit="1" customWidth="1"/>
    <col min="58" max="58" width="17" bestFit="1" customWidth="1"/>
    <col min="59" max="59" width="11.5703125" bestFit="1" customWidth="1"/>
    <col min="60" max="60" width="12" bestFit="1" customWidth="1"/>
    <col min="61" max="61" width="14.42578125" bestFit="1" customWidth="1"/>
    <col min="62" max="62" width="14.5703125" bestFit="1" customWidth="1"/>
    <col min="63" max="64" width="11.42578125" bestFit="1" customWidth="1"/>
    <col min="65" max="65" width="16.7109375" bestFit="1" customWidth="1"/>
    <col min="66" max="66" width="14.85546875" bestFit="1" customWidth="1"/>
    <col min="67" max="67" width="7.85546875" bestFit="1" customWidth="1"/>
    <col min="68" max="68" width="12.42578125" bestFit="1" customWidth="1"/>
    <col min="69" max="69" width="8.5703125" bestFit="1" customWidth="1"/>
    <col min="70" max="70" width="7" bestFit="1" customWidth="1"/>
    <col min="71" max="71" width="17" bestFit="1" customWidth="1"/>
    <col min="72" max="72" width="11.5703125" bestFit="1" customWidth="1"/>
    <col min="73" max="73" width="12" bestFit="1" customWidth="1"/>
    <col min="74" max="74" width="14.42578125" bestFit="1" customWidth="1"/>
    <col min="75" max="75" width="14.5703125" bestFit="1" customWidth="1"/>
    <col min="76" max="77" width="11.42578125" bestFit="1" customWidth="1"/>
    <col min="78" max="78" width="16.7109375" bestFit="1" customWidth="1"/>
    <col min="79" max="79" width="10.85546875" bestFit="1" customWidth="1"/>
    <col min="80" max="80" width="13.7109375" bestFit="1" customWidth="1"/>
    <col min="81" max="81" width="12.42578125" bestFit="1" customWidth="1"/>
    <col min="82" max="82" width="8.5703125" bestFit="1" customWidth="1"/>
    <col min="83" max="83" width="7" bestFit="1" customWidth="1"/>
    <col min="84" max="84" width="17" bestFit="1" customWidth="1"/>
    <col min="85" max="85" width="11.5703125" bestFit="1" customWidth="1"/>
    <col min="86" max="86" width="12" bestFit="1" customWidth="1"/>
    <col min="87" max="87" width="14.42578125" bestFit="1" customWidth="1"/>
    <col min="88" max="88" width="14.5703125" bestFit="1" customWidth="1"/>
    <col min="89" max="90" width="11.42578125" bestFit="1" customWidth="1"/>
    <col min="91" max="91" width="16.7109375" bestFit="1" customWidth="1"/>
    <col min="92" max="92" width="16.85546875" bestFit="1" customWidth="1"/>
    <col min="93" max="93" width="7.5703125" bestFit="1" customWidth="1"/>
    <col min="94" max="94" width="12.42578125" bestFit="1" customWidth="1"/>
    <col min="95" max="95" width="8.5703125" bestFit="1" customWidth="1"/>
    <col min="96" max="96" width="7" bestFit="1" customWidth="1"/>
    <col min="97" max="97" width="17" bestFit="1" customWidth="1"/>
    <col min="98" max="98" width="11.5703125" bestFit="1" customWidth="1"/>
    <col min="99" max="99" width="12" bestFit="1" customWidth="1"/>
    <col min="100" max="100" width="14.42578125" bestFit="1" customWidth="1"/>
    <col min="101" max="101" width="14.5703125" bestFit="1" customWidth="1"/>
    <col min="102" max="103" width="11.42578125" bestFit="1" customWidth="1"/>
    <col min="104" max="104" width="16.7109375" bestFit="1" customWidth="1"/>
    <col min="105" max="105" width="10.42578125" bestFit="1" customWidth="1"/>
    <col min="106" max="106" width="11.5703125" bestFit="1" customWidth="1"/>
    <col min="107" max="107" width="12.42578125" bestFit="1" customWidth="1"/>
    <col min="108" max="108" width="8.5703125" bestFit="1" customWidth="1"/>
    <col min="109" max="109" width="7" bestFit="1" customWidth="1"/>
    <col min="110" max="110" width="17" bestFit="1" customWidth="1"/>
    <col min="111" max="111" width="11.5703125" bestFit="1" customWidth="1"/>
    <col min="112" max="112" width="12" bestFit="1" customWidth="1"/>
    <col min="113" max="113" width="14.42578125" bestFit="1" customWidth="1"/>
    <col min="114" max="114" width="14.5703125" bestFit="1" customWidth="1"/>
    <col min="115" max="116" width="11.42578125" bestFit="1" customWidth="1"/>
    <col min="117" max="117" width="16.7109375" bestFit="1" customWidth="1"/>
    <col min="118" max="118" width="14.5703125" bestFit="1" customWidth="1"/>
    <col min="119" max="119" width="13.28515625" bestFit="1" customWidth="1"/>
    <col min="120" max="120" width="12.42578125" bestFit="1" customWidth="1"/>
    <col min="121" max="121" width="8.5703125" bestFit="1" customWidth="1"/>
    <col min="122" max="122" width="7" bestFit="1" customWidth="1"/>
    <col min="123" max="123" width="17" bestFit="1" customWidth="1"/>
    <col min="124" max="124" width="11.5703125" bestFit="1" customWidth="1"/>
    <col min="125" max="125" width="12" bestFit="1" customWidth="1"/>
    <col min="126" max="126" width="14.42578125" bestFit="1" customWidth="1"/>
    <col min="127" max="127" width="14.5703125" bestFit="1" customWidth="1"/>
    <col min="128" max="129" width="11.42578125" bestFit="1" customWidth="1"/>
    <col min="130" max="130" width="16.7109375" bestFit="1" customWidth="1"/>
    <col min="131" max="131" width="16.42578125" bestFit="1" customWidth="1"/>
    <col min="132" max="132" width="11.140625" bestFit="1" customWidth="1"/>
    <col min="133" max="133" width="12.42578125" bestFit="1" customWidth="1"/>
    <col min="134" max="134" width="8.5703125" bestFit="1" customWidth="1"/>
    <col min="135" max="135" width="7" bestFit="1" customWidth="1"/>
    <col min="136" max="136" width="17" bestFit="1" customWidth="1"/>
    <col min="137" max="137" width="11.5703125" bestFit="1" customWidth="1"/>
    <col min="138" max="138" width="12" bestFit="1" customWidth="1"/>
    <col min="139" max="139" width="14.42578125" bestFit="1" customWidth="1"/>
    <col min="140" max="140" width="14.5703125" bestFit="1" customWidth="1"/>
    <col min="141" max="142" width="11.42578125" bestFit="1" customWidth="1"/>
    <col min="143" max="143" width="16.7109375" bestFit="1" customWidth="1"/>
    <col min="144" max="144" width="14.140625" bestFit="1" customWidth="1"/>
    <col min="145" max="145" width="20.7109375" bestFit="1" customWidth="1"/>
    <col min="146" max="146" width="12.42578125" bestFit="1" customWidth="1"/>
    <col min="147" max="147" width="8.5703125" bestFit="1" customWidth="1"/>
    <col min="148" max="148" width="7" bestFit="1" customWidth="1"/>
    <col min="149" max="149" width="17" bestFit="1" customWidth="1"/>
    <col min="150" max="150" width="11.5703125" bestFit="1" customWidth="1"/>
    <col min="151" max="151" width="12" bestFit="1" customWidth="1"/>
    <col min="152" max="152" width="14.42578125" bestFit="1" customWidth="1"/>
    <col min="153" max="153" width="14.5703125" bestFit="1" customWidth="1"/>
    <col min="154" max="155" width="11.42578125" bestFit="1" customWidth="1"/>
    <col min="156" max="156" width="16.7109375" bestFit="1" customWidth="1"/>
    <col min="157" max="157" width="23.85546875" bestFit="1" customWidth="1"/>
    <col min="158" max="158" width="12.5703125" bestFit="1" customWidth="1"/>
    <col min="159" max="185" width="4.85546875" bestFit="1" customWidth="1"/>
    <col min="186" max="186" width="7.85546875" bestFit="1" customWidth="1"/>
    <col min="187" max="223" width="4.85546875" bestFit="1" customWidth="1"/>
    <col min="224" max="224" width="7.85546875" bestFit="1" customWidth="1"/>
    <col min="225" max="256" width="4.85546875" bestFit="1" customWidth="1"/>
    <col min="257" max="257" width="7.85546875" bestFit="1" customWidth="1"/>
    <col min="258" max="288" width="4.85546875" bestFit="1" customWidth="1"/>
    <col min="289" max="289" width="7.85546875" bestFit="1" customWidth="1"/>
    <col min="290" max="324" width="4.85546875" bestFit="1" customWidth="1"/>
    <col min="325" max="325" width="7.85546875" bestFit="1" customWidth="1"/>
    <col min="326" max="356" width="4.85546875" bestFit="1" customWidth="1"/>
    <col min="357" max="357" width="7.85546875" bestFit="1" customWidth="1"/>
    <col min="358" max="392" width="4.85546875" bestFit="1" customWidth="1"/>
    <col min="393" max="393" width="7.85546875" bestFit="1" customWidth="1"/>
    <col min="394" max="431" width="4.85546875" bestFit="1" customWidth="1"/>
    <col min="432" max="432" width="7.85546875" bestFit="1" customWidth="1"/>
    <col min="433" max="467" width="4.85546875" bestFit="1" customWidth="1"/>
    <col min="468" max="468" width="7.85546875" bestFit="1" customWidth="1"/>
    <col min="469" max="508" width="4.85546875" bestFit="1" customWidth="1"/>
    <col min="509" max="509" width="7.85546875" bestFit="1" customWidth="1"/>
    <col min="510" max="552" width="4.85546875" bestFit="1" customWidth="1"/>
    <col min="553" max="553" width="7.85546875" bestFit="1" customWidth="1"/>
    <col min="554" max="595" width="4.85546875" bestFit="1" customWidth="1"/>
    <col min="596" max="596" width="7.85546875" bestFit="1" customWidth="1"/>
    <col min="597" max="639" width="4.85546875" bestFit="1" customWidth="1"/>
    <col min="640" max="640" width="7.85546875" bestFit="1" customWidth="1"/>
    <col min="641" max="677" width="4.85546875" bestFit="1" customWidth="1"/>
    <col min="678" max="678" width="7.85546875" bestFit="1" customWidth="1"/>
    <col min="679" max="718" width="4.85546875" bestFit="1" customWidth="1"/>
    <col min="719" max="719" width="7.85546875" bestFit="1" customWidth="1"/>
    <col min="720" max="720" width="12.5703125" bestFit="1" customWidth="1"/>
  </cols>
  <sheetData>
    <row r="3" spans="1:14" x14ac:dyDescent="0.25">
      <c r="A3" s="31" t="s">
        <v>1396</v>
      </c>
      <c r="B3" s="31" t="s">
        <v>1375</v>
      </c>
    </row>
    <row r="4" spans="1:14" x14ac:dyDescent="0.25">
      <c r="A4" s="31" t="s">
        <v>1348</v>
      </c>
      <c r="B4" t="s">
        <v>60</v>
      </c>
      <c r="C4" t="s">
        <v>62</v>
      </c>
      <c r="D4" t="s">
        <v>52</v>
      </c>
      <c r="E4" t="s">
        <v>32</v>
      </c>
      <c r="F4" t="s">
        <v>70</v>
      </c>
      <c r="G4" t="s">
        <v>28</v>
      </c>
      <c r="H4" t="s">
        <v>40</v>
      </c>
      <c r="I4" t="s">
        <v>49</v>
      </c>
      <c r="J4" t="s">
        <v>65</v>
      </c>
      <c r="K4" t="s">
        <v>55</v>
      </c>
      <c r="L4" t="s">
        <v>58</v>
      </c>
      <c r="M4" t="s">
        <v>20</v>
      </c>
      <c r="N4" t="s">
        <v>1349</v>
      </c>
    </row>
    <row r="5" spans="1:14" x14ac:dyDescent="0.25">
      <c r="A5" s="32" t="s">
        <v>1384</v>
      </c>
      <c r="B5" s="3">
        <v>2</v>
      </c>
      <c r="C5" s="3"/>
      <c r="D5" s="3">
        <v>2</v>
      </c>
      <c r="E5" s="3">
        <v>2</v>
      </c>
      <c r="F5" s="3">
        <v>2</v>
      </c>
      <c r="G5" s="3">
        <v>1</v>
      </c>
      <c r="H5" s="3">
        <v>1</v>
      </c>
      <c r="I5" s="3">
        <v>1</v>
      </c>
      <c r="J5" s="3">
        <v>1</v>
      </c>
      <c r="K5" s="3">
        <v>3</v>
      </c>
      <c r="L5" s="3">
        <v>3</v>
      </c>
      <c r="M5" s="3"/>
      <c r="N5" s="3">
        <v>18</v>
      </c>
    </row>
    <row r="6" spans="1:14" x14ac:dyDescent="0.25">
      <c r="A6" s="32" t="s">
        <v>1385</v>
      </c>
      <c r="B6" s="3">
        <v>1</v>
      </c>
      <c r="C6" s="3"/>
      <c r="D6" s="3">
        <v>2</v>
      </c>
      <c r="E6" s="3">
        <v>2</v>
      </c>
      <c r="F6" s="3">
        <v>1</v>
      </c>
      <c r="G6" s="3">
        <v>1</v>
      </c>
      <c r="H6" s="3">
        <v>1</v>
      </c>
      <c r="I6" s="3">
        <v>2</v>
      </c>
      <c r="J6" s="3"/>
      <c r="K6" s="3">
        <v>1</v>
      </c>
      <c r="L6" s="3">
        <v>1</v>
      </c>
      <c r="M6" s="3">
        <v>2</v>
      </c>
      <c r="N6" s="3">
        <v>14</v>
      </c>
    </row>
    <row r="7" spans="1:14" x14ac:dyDescent="0.25">
      <c r="A7" s="32" t="s">
        <v>1386</v>
      </c>
      <c r="B7" s="3">
        <v>2</v>
      </c>
      <c r="C7" s="3">
        <v>3</v>
      </c>
      <c r="D7" s="3">
        <v>2</v>
      </c>
      <c r="E7" s="3">
        <v>1</v>
      </c>
      <c r="F7" s="3">
        <v>1</v>
      </c>
      <c r="G7" s="3"/>
      <c r="H7" s="3">
        <v>1</v>
      </c>
      <c r="I7" s="3">
        <v>1</v>
      </c>
      <c r="J7" s="3"/>
      <c r="K7" s="3">
        <v>4</v>
      </c>
      <c r="L7" s="3">
        <v>2</v>
      </c>
      <c r="M7" s="3">
        <v>1</v>
      </c>
      <c r="N7" s="3">
        <v>18</v>
      </c>
    </row>
    <row r="8" spans="1:14" x14ac:dyDescent="0.25">
      <c r="A8" s="32" t="s">
        <v>1387</v>
      </c>
      <c r="B8" s="3">
        <v>2</v>
      </c>
      <c r="C8" s="3">
        <v>3</v>
      </c>
      <c r="D8" s="3"/>
      <c r="E8" s="3">
        <v>2</v>
      </c>
      <c r="F8" s="3">
        <v>2</v>
      </c>
      <c r="G8" s="3">
        <v>1</v>
      </c>
      <c r="H8" s="3">
        <v>1</v>
      </c>
      <c r="I8" s="3">
        <v>4</v>
      </c>
      <c r="J8" s="3">
        <v>2</v>
      </c>
      <c r="K8" s="3">
        <v>2</v>
      </c>
      <c r="L8" s="3">
        <v>1</v>
      </c>
      <c r="M8" s="3"/>
      <c r="N8" s="3">
        <v>20</v>
      </c>
    </row>
    <row r="9" spans="1:14" x14ac:dyDescent="0.25">
      <c r="A9" s="32" t="s">
        <v>1388</v>
      </c>
      <c r="B9" s="3">
        <v>1</v>
      </c>
      <c r="C9" s="3">
        <v>1</v>
      </c>
      <c r="D9" s="3">
        <v>1</v>
      </c>
      <c r="E9" s="3"/>
      <c r="F9" s="3">
        <v>4</v>
      </c>
      <c r="G9" s="3">
        <v>3</v>
      </c>
      <c r="H9" s="3">
        <v>3</v>
      </c>
      <c r="I9" s="3"/>
      <c r="J9" s="3">
        <v>3</v>
      </c>
      <c r="K9" s="3">
        <v>2</v>
      </c>
      <c r="L9" s="3">
        <v>2</v>
      </c>
      <c r="M9" s="3"/>
      <c r="N9" s="3">
        <v>20</v>
      </c>
    </row>
    <row r="10" spans="1:14" x14ac:dyDescent="0.25">
      <c r="A10" s="32" t="s">
        <v>1389</v>
      </c>
      <c r="B10" s="3"/>
      <c r="C10" s="3">
        <v>3</v>
      </c>
      <c r="D10" s="3">
        <v>1</v>
      </c>
      <c r="E10" s="3">
        <v>4</v>
      </c>
      <c r="F10" s="3"/>
      <c r="G10" s="3">
        <v>3</v>
      </c>
      <c r="H10" s="3">
        <v>3</v>
      </c>
      <c r="I10" s="3">
        <v>2</v>
      </c>
      <c r="J10" s="3">
        <v>1</v>
      </c>
      <c r="K10" s="3"/>
      <c r="L10" s="3">
        <v>3</v>
      </c>
      <c r="M10" s="3">
        <v>3</v>
      </c>
      <c r="N10" s="3">
        <v>23</v>
      </c>
    </row>
    <row r="11" spans="1:14" x14ac:dyDescent="0.25">
      <c r="A11" s="32" t="s">
        <v>1390</v>
      </c>
      <c r="B11" s="3">
        <v>1</v>
      </c>
      <c r="C11" s="3"/>
      <c r="D11" s="3">
        <v>1</v>
      </c>
      <c r="E11" s="3">
        <v>1</v>
      </c>
      <c r="F11" s="3">
        <v>1</v>
      </c>
      <c r="G11" s="3">
        <v>3</v>
      </c>
      <c r="H11" s="3">
        <v>1</v>
      </c>
      <c r="I11" s="3">
        <v>3</v>
      </c>
      <c r="J11" s="3">
        <v>2</v>
      </c>
      <c r="K11" s="3">
        <v>2</v>
      </c>
      <c r="L11" s="3">
        <v>1</v>
      </c>
      <c r="M11" s="3">
        <v>1</v>
      </c>
      <c r="N11" s="3">
        <v>17</v>
      </c>
    </row>
    <row r="12" spans="1:14" x14ac:dyDescent="0.25">
      <c r="A12" s="32" t="s">
        <v>1391</v>
      </c>
      <c r="B12" s="3"/>
      <c r="C12" s="3">
        <v>1</v>
      </c>
      <c r="D12" s="3">
        <v>4</v>
      </c>
      <c r="E12" s="3">
        <v>2</v>
      </c>
      <c r="F12" s="3">
        <v>2</v>
      </c>
      <c r="G12" s="3">
        <v>3</v>
      </c>
      <c r="H12" s="3"/>
      <c r="I12" s="3">
        <v>1</v>
      </c>
      <c r="J12" s="3">
        <v>2</v>
      </c>
      <c r="K12" s="3">
        <v>2</v>
      </c>
      <c r="L12" s="3">
        <v>1</v>
      </c>
      <c r="M12" s="3">
        <v>1</v>
      </c>
      <c r="N12" s="3">
        <v>19</v>
      </c>
    </row>
    <row r="13" spans="1:14" x14ac:dyDescent="0.25">
      <c r="A13" s="32" t="s">
        <v>1392</v>
      </c>
      <c r="B13" s="3">
        <v>2</v>
      </c>
      <c r="C13" s="3"/>
      <c r="D13" s="3">
        <v>1</v>
      </c>
      <c r="E13" s="3">
        <v>2</v>
      </c>
      <c r="F13" s="3">
        <v>1</v>
      </c>
      <c r="G13" s="3"/>
      <c r="H13" s="3">
        <v>1</v>
      </c>
      <c r="I13" s="3">
        <v>4</v>
      </c>
      <c r="J13" s="3">
        <v>1</v>
      </c>
      <c r="K13" s="3">
        <v>2</v>
      </c>
      <c r="L13" s="3">
        <v>2</v>
      </c>
      <c r="M13" s="3">
        <v>1</v>
      </c>
      <c r="N13" s="3">
        <v>17</v>
      </c>
    </row>
    <row r="14" spans="1:14" x14ac:dyDescent="0.25">
      <c r="A14" s="32" t="s">
        <v>1393</v>
      </c>
      <c r="B14" s="3">
        <v>4</v>
      </c>
      <c r="C14" s="3">
        <v>6</v>
      </c>
      <c r="D14" s="3">
        <v>5</v>
      </c>
      <c r="E14" s="3">
        <v>4</v>
      </c>
      <c r="F14" s="3">
        <v>1</v>
      </c>
      <c r="G14" s="3">
        <v>3</v>
      </c>
      <c r="H14" s="3">
        <v>5</v>
      </c>
      <c r="I14" s="3">
        <v>6</v>
      </c>
      <c r="J14" s="3">
        <v>5</v>
      </c>
      <c r="K14" s="3">
        <v>3</v>
      </c>
      <c r="L14" s="3">
        <v>3</v>
      </c>
      <c r="M14" s="3"/>
      <c r="N14" s="3">
        <v>45</v>
      </c>
    </row>
    <row r="15" spans="1:14" x14ac:dyDescent="0.25">
      <c r="A15" s="32" t="s">
        <v>57</v>
      </c>
      <c r="B15" s="3">
        <v>3</v>
      </c>
      <c r="C15" s="3">
        <v>5</v>
      </c>
      <c r="D15" s="3">
        <v>6</v>
      </c>
      <c r="E15" s="3">
        <v>6</v>
      </c>
      <c r="F15" s="3">
        <v>2</v>
      </c>
      <c r="G15" s="3">
        <v>10</v>
      </c>
      <c r="H15" s="3">
        <v>4</v>
      </c>
      <c r="I15" s="3">
        <v>4</v>
      </c>
      <c r="J15" s="3">
        <v>4</v>
      </c>
      <c r="K15" s="3">
        <v>3</v>
      </c>
      <c r="L15" s="3">
        <v>3</v>
      </c>
      <c r="M15" s="3">
        <v>3</v>
      </c>
      <c r="N15" s="3">
        <v>53</v>
      </c>
    </row>
    <row r="16" spans="1:14" x14ac:dyDescent="0.25">
      <c r="A16" s="32" t="s">
        <v>278</v>
      </c>
      <c r="B16" s="3">
        <v>4</v>
      </c>
      <c r="C16" s="3">
        <v>3</v>
      </c>
      <c r="D16" s="3">
        <v>4</v>
      </c>
      <c r="E16" s="3">
        <v>6</v>
      </c>
      <c r="F16" s="3">
        <v>4</v>
      </c>
      <c r="G16" s="3">
        <v>4</v>
      </c>
      <c r="H16" s="3">
        <v>4</v>
      </c>
      <c r="I16" s="3"/>
      <c r="J16" s="3">
        <v>4</v>
      </c>
      <c r="K16" s="3">
        <v>4</v>
      </c>
      <c r="L16" s="3">
        <v>1</v>
      </c>
      <c r="M16" s="3"/>
      <c r="N16" s="3">
        <v>38</v>
      </c>
    </row>
    <row r="17" spans="1:14" x14ac:dyDescent="0.25">
      <c r="A17" s="32" t="s">
        <v>1394</v>
      </c>
      <c r="B17" s="3">
        <v>3</v>
      </c>
      <c r="C17" s="3">
        <v>4</v>
      </c>
      <c r="D17" s="3">
        <v>4</v>
      </c>
      <c r="E17" s="3">
        <v>4</v>
      </c>
      <c r="F17" s="3">
        <v>3</v>
      </c>
      <c r="G17" s="3">
        <v>1</v>
      </c>
      <c r="H17" s="3">
        <v>6</v>
      </c>
      <c r="I17" s="3">
        <v>3</v>
      </c>
      <c r="J17" s="3">
        <v>4</v>
      </c>
      <c r="K17" s="3">
        <v>5</v>
      </c>
      <c r="L17" s="3">
        <v>1</v>
      </c>
      <c r="M17" s="3">
        <v>6</v>
      </c>
      <c r="N17" s="3">
        <v>44</v>
      </c>
    </row>
    <row r="18" spans="1:14" x14ac:dyDescent="0.25">
      <c r="A18" s="32" t="s">
        <v>199</v>
      </c>
      <c r="B18" s="3">
        <v>6</v>
      </c>
      <c r="C18" s="3">
        <v>4</v>
      </c>
      <c r="D18" s="3">
        <v>5</v>
      </c>
      <c r="E18" s="3">
        <v>6</v>
      </c>
      <c r="F18" s="3">
        <v>5</v>
      </c>
      <c r="G18" s="3">
        <v>1</v>
      </c>
      <c r="H18" s="3">
        <v>4</v>
      </c>
      <c r="I18" s="3">
        <v>5</v>
      </c>
      <c r="J18" s="3">
        <v>6</v>
      </c>
      <c r="K18" s="3">
        <v>5</v>
      </c>
      <c r="L18" s="3">
        <v>5</v>
      </c>
      <c r="M18" s="3">
        <v>4</v>
      </c>
      <c r="N18" s="3">
        <v>56</v>
      </c>
    </row>
    <row r="19" spans="1:14" x14ac:dyDescent="0.25">
      <c r="A19" s="32" t="s">
        <v>1395</v>
      </c>
      <c r="B19" s="3">
        <v>2</v>
      </c>
      <c r="C19" s="3">
        <v>3</v>
      </c>
      <c r="D19" s="3">
        <v>3</v>
      </c>
      <c r="E19" s="3">
        <v>1</v>
      </c>
      <c r="F19" s="3">
        <v>5</v>
      </c>
      <c r="G19" s="3">
        <v>3</v>
      </c>
      <c r="H19" s="3">
        <v>5</v>
      </c>
      <c r="I19" s="3">
        <v>4</v>
      </c>
      <c r="J19" s="3">
        <v>1</v>
      </c>
      <c r="K19" s="3">
        <v>5</v>
      </c>
      <c r="L19" s="3">
        <v>4</v>
      </c>
      <c r="M19" s="3">
        <v>3</v>
      </c>
      <c r="N19" s="3">
        <v>39</v>
      </c>
    </row>
    <row r="20" spans="1:14" x14ac:dyDescent="0.25">
      <c r="A20" s="32" t="s">
        <v>73</v>
      </c>
      <c r="B20" s="3">
        <v>2</v>
      </c>
      <c r="C20" s="3">
        <v>5</v>
      </c>
      <c r="D20" s="3">
        <v>4</v>
      </c>
      <c r="E20" s="3">
        <v>10</v>
      </c>
      <c r="F20" s="3">
        <v>3</v>
      </c>
      <c r="G20" s="3">
        <v>4</v>
      </c>
      <c r="H20" s="3">
        <v>2</v>
      </c>
      <c r="I20" s="3">
        <v>3</v>
      </c>
      <c r="J20" s="3">
        <v>4</v>
      </c>
      <c r="K20" s="3">
        <v>6</v>
      </c>
      <c r="L20" s="3">
        <v>3</v>
      </c>
      <c r="M20" s="3">
        <v>4</v>
      </c>
      <c r="N20" s="3">
        <v>50</v>
      </c>
    </row>
    <row r="21" spans="1:14" x14ac:dyDescent="0.25">
      <c r="A21" s="32" t="s">
        <v>272</v>
      </c>
      <c r="B21" s="3">
        <v>3</v>
      </c>
      <c r="C21" s="3">
        <v>6</v>
      </c>
      <c r="D21" s="3">
        <v>5</v>
      </c>
      <c r="E21" s="3">
        <v>5</v>
      </c>
      <c r="F21" s="3">
        <v>5</v>
      </c>
      <c r="G21" s="3">
        <v>3</v>
      </c>
      <c r="H21" s="3">
        <v>7</v>
      </c>
      <c r="I21" s="3">
        <v>7</v>
      </c>
      <c r="J21" s="3">
        <v>5</v>
      </c>
      <c r="K21" s="3">
        <v>9</v>
      </c>
      <c r="L21" s="3">
        <v>4</v>
      </c>
      <c r="M21" s="3">
        <v>3</v>
      </c>
      <c r="N21" s="3">
        <v>62</v>
      </c>
    </row>
    <row r="22" spans="1:14" x14ac:dyDescent="0.25">
      <c r="A22" s="32" t="s">
        <v>316</v>
      </c>
      <c r="B22" s="3">
        <v>5</v>
      </c>
      <c r="C22" s="3">
        <v>8</v>
      </c>
      <c r="D22" s="3">
        <v>6</v>
      </c>
      <c r="E22" s="3">
        <v>4</v>
      </c>
      <c r="F22" s="3">
        <v>3</v>
      </c>
      <c r="G22" s="3">
        <v>3</v>
      </c>
      <c r="H22" s="3">
        <v>2</v>
      </c>
      <c r="I22" s="3">
        <v>1</v>
      </c>
      <c r="J22" s="3">
        <v>2</v>
      </c>
      <c r="K22" s="3">
        <v>4</v>
      </c>
      <c r="L22" s="3">
        <v>2</v>
      </c>
      <c r="M22" s="3">
        <v>3</v>
      </c>
      <c r="N22" s="3">
        <v>43</v>
      </c>
    </row>
    <row r="23" spans="1:14" x14ac:dyDescent="0.25">
      <c r="A23" s="32" t="s">
        <v>252</v>
      </c>
      <c r="B23" s="3">
        <v>7</v>
      </c>
      <c r="C23" s="3">
        <v>5</v>
      </c>
      <c r="D23" s="3">
        <v>4</v>
      </c>
      <c r="E23" s="3">
        <v>2</v>
      </c>
      <c r="F23" s="3">
        <v>5</v>
      </c>
      <c r="G23" s="3">
        <v>4</v>
      </c>
      <c r="H23" s="3">
        <v>7</v>
      </c>
      <c r="I23" s="3">
        <v>6</v>
      </c>
      <c r="J23" s="3">
        <v>10</v>
      </c>
      <c r="K23" s="3">
        <v>4</v>
      </c>
      <c r="L23" s="3">
        <v>2</v>
      </c>
      <c r="M23" s="3">
        <v>4</v>
      </c>
      <c r="N23" s="3">
        <v>60</v>
      </c>
    </row>
    <row r="24" spans="1:14" x14ac:dyDescent="0.25">
      <c r="A24" s="32" t="s">
        <v>245</v>
      </c>
      <c r="B24" s="3">
        <v>9</v>
      </c>
      <c r="C24" s="3">
        <v>10</v>
      </c>
      <c r="D24" s="3">
        <v>9</v>
      </c>
      <c r="E24" s="3">
        <v>7</v>
      </c>
      <c r="F24" s="3">
        <v>7</v>
      </c>
      <c r="G24" s="3">
        <v>6</v>
      </c>
      <c r="H24" s="3">
        <v>8</v>
      </c>
      <c r="I24" s="3">
        <v>6</v>
      </c>
      <c r="J24" s="3">
        <v>2</v>
      </c>
      <c r="K24" s="3">
        <v>6</v>
      </c>
      <c r="L24" s="3">
        <v>1</v>
      </c>
      <c r="M24" s="3">
        <v>3</v>
      </c>
      <c r="N24" s="3">
        <v>74</v>
      </c>
    </row>
    <row r="25" spans="1:14" x14ac:dyDescent="0.25">
      <c r="A25" s="32" t="s">
        <v>144</v>
      </c>
      <c r="B25" s="3">
        <v>4</v>
      </c>
      <c r="C25" s="3">
        <v>5</v>
      </c>
      <c r="D25" s="3">
        <v>4</v>
      </c>
      <c r="E25" s="3">
        <v>5</v>
      </c>
      <c r="F25" s="3">
        <v>3</v>
      </c>
      <c r="G25" s="3">
        <v>6</v>
      </c>
      <c r="H25" s="3">
        <v>6</v>
      </c>
      <c r="I25" s="3">
        <v>7</v>
      </c>
      <c r="J25" s="3">
        <v>3</v>
      </c>
      <c r="K25" s="3">
        <v>7</v>
      </c>
      <c r="L25" s="3">
        <v>6</v>
      </c>
      <c r="M25" s="3">
        <v>6</v>
      </c>
      <c r="N25" s="3">
        <v>62</v>
      </c>
    </row>
    <row r="26" spans="1:14" x14ac:dyDescent="0.25">
      <c r="A26" s="32" t="s">
        <v>277</v>
      </c>
      <c r="B26" s="3">
        <v>7</v>
      </c>
      <c r="C26" s="3">
        <v>12</v>
      </c>
      <c r="D26" s="3">
        <v>5</v>
      </c>
      <c r="E26" s="3">
        <v>5</v>
      </c>
      <c r="F26" s="3">
        <v>5</v>
      </c>
      <c r="G26" s="3">
        <v>8</v>
      </c>
      <c r="H26" s="3">
        <v>6</v>
      </c>
      <c r="I26" s="3">
        <v>2</v>
      </c>
      <c r="J26" s="3">
        <v>2</v>
      </c>
      <c r="K26" s="3">
        <v>9</v>
      </c>
      <c r="L26" s="3">
        <v>5</v>
      </c>
      <c r="M26" s="3">
        <v>5</v>
      </c>
      <c r="N26" s="3">
        <v>71</v>
      </c>
    </row>
    <row r="27" spans="1:14" x14ac:dyDescent="0.25">
      <c r="A27" s="32" t="s">
        <v>110</v>
      </c>
      <c r="B27" s="3">
        <v>2</v>
      </c>
      <c r="C27" s="3">
        <v>3</v>
      </c>
      <c r="D27" s="3">
        <v>3</v>
      </c>
      <c r="E27" s="3">
        <v>4</v>
      </c>
      <c r="F27" s="3">
        <v>5</v>
      </c>
      <c r="G27" s="3">
        <v>4</v>
      </c>
      <c r="H27" s="3">
        <v>13</v>
      </c>
      <c r="I27" s="3">
        <v>6</v>
      </c>
      <c r="J27" s="3">
        <v>2</v>
      </c>
      <c r="K27" s="3">
        <v>7</v>
      </c>
      <c r="L27" s="3">
        <v>7</v>
      </c>
      <c r="M27" s="3">
        <v>7</v>
      </c>
      <c r="N27" s="3">
        <v>63</v>
      </c>
    </row>
    <row r="28" spans="1:14" x14ac:dyDescent="0.25">
      <c r="A28" s="32" t="s">
        <v>140</v>
      </c>
      <c r="B28" s="3">
        <v>4</v>
      </c>
      <c r="C28" s="3">
        <v>7</v>
      </c>
      <c r="D28" s="3">
        <v>8</v>
      </c>
      <c r="E28" s="3">
        <v>6</v>
      </c>
      <c r="F28" s="3">
        <v>7</v>
      </c>
      <c r="G28" s="3">
        <v>7</v>
      </c>
      <c r="H28" s="3">
        <v>4</v>
      </c>
      <c r="I28" s="3">
        <v>4</v>
      </c>
      <c r="J28" s="3">
        <v>9</v>
      </c>
      <c r="K28" s="3">
        <v>5</v>
      </c>
      <c r="L28" s="3">
        <v>7</v>
      </c>
      <c r="M28" s="3">
        <v>6</v>
      </c>
      <c r="N28" s="3">
        <v>74</v>
      </c>
    </row>
    <row r="29" spans="1:14" x14ac:dyDescent="0.25">
      <c r="A29" s="32" t="s">
        <v>1349</v>
      </c>
      <c r="B29" s="3">
        <v>76</v>
      </c>
      <c r="C29" s="3">
        <v>97</v>
      </c>
      <c r="D29" s="3">
        <v>89</v>
      </c>
      <c r="E29" s="3">
        <v>91</v>
      </c>
      <c r="F29" s="3">
        <v>77</v>
      </c>
      <c r="G29" s="3">
        <v>82</v>
      </c>
      <c r="H29" s="3">
        <v>95</v>
      </c>
      <c r="I29" s="3">
        <v>82</v>
      </c>
      <c r="J29" s="3">
        <v>75</v>
      </c>
      <c r="K29" s="3">
        <v>100</v>
      </c>
      <c r="L29" s="3">
        <v>70</v>
      </c>
      <c r="M29" s="3">
        <v>66</v>
      </c>
      <c r="N29" s="3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65596-A8E0-4A01-8749-D22D2E4F0261}">
  <sheetPr codeName="Hoja6"/>
  <dimension ref="A3:A33"/>
  <sheetViews>
    <sheetView tabSelected="1" zoomScaleNormal="100" workbookViewId="0">
      <selection sqref="A1:XFD1"/>
    </sheetView>
  </sheetViews>
  <sheetFormatPr baseColWidth="10" defaultRowHeight="15" x14ac:dyDescent="0.25"/>
  <cols>
    <col min="1" max="1" width="2.7109375" style="22" customWidth="1"/>
    <col min="2" max="2" width="10.42578125" style="22" customWidth="1"/>
    <col min="3" max="3" width="11.7109375" style="22" customWidth="1"/>
    <col min="4" max="4" width="7.140625" style="22" customWidth="1"/>
    <col min="5" max="5" width="51" style="22" customWidth="1"/>
    <col min="6" max="6" width="9.42578125" style="22" customWidth="1"/>
    <col min="7" max="9" width="0.85546875" style="22" customWidth="1"/>
    <col min="10" max="10" width="23.5703125" style="22" customWidth="1"/>
    <col min="11" max="11" width="0.85546875" style="22" customWidth="1"/>
    <col min="12" max="14" width="11.7109375" style="22" customWidth="1"/>
    <col min="15" max="15" width="0.85546875" style="22" customWidth="1"/>
    <col min="16" max="16" width="11.7109375" style="22" customWidth="1"/>
    <col min="17" max="17" width="21.28515625" style="22" customWidth="1"/>
    <col min="18" max="18" width="11.42578125" style="22"/>
    <col min="19" max="19" width="13.140625" style="22" customWidth="1"/>
    <col min="20" max="20" width="0.85546875" style="22" customWidth="1"/>
    <col min="21" max="21" width="2.7109375" style="22" customWidth="1"/>
    <col min="22" max="23" width="11.42578125" style="22"/>
    <col min="24" max="24" width="9.42578125" style="22" customWidth="1"/>
    <col min="25" max="16384" width="11.42578125" style="22"/>
  </cols>
  <sheetData>
    <row r="3" spans="1:1" x14ac:dyDescent="0.25">
      <c r="A3"/>
    </row>
    <row r="5" spans="1:1" ht="7.5" customHeight="1" x14ac:dyDescent="0.25"/>
    <row r="8" spans="1:1" ht="5.0999999999999996" customHeight="1" x14ac:dyDescent="0.25"/>
    <row r="16" spans="1:1" ht="24.75" customHeight="1" x14ac:dyDescent="0.25"/>
    <row r="17" spans="1:1" ht="5.0999999999999996" customHeight="1" x14ac:dyDescent="0.25">
      <c r="A17"/>
    </row>
    <row r="25" spans="1:1" ht="2.1" customHeight="1" x14ac:dyDescent="0.25"/>
    <row r="28" spans="1:1" ht="3" customHeight="1" x14ac:dyDescent="0.25"/>
    <row r="29" spans="1:1" ht="2.1" customHeight="1" x14ac:dyDescent="0.25"/>
    <row r="31" spans="1:1" ht="3.75" customHeight="1" x14ac:dyDescent="0.25"/>
    <row r="32" spans="1:1" ht="27" customHeight="1" x14ac:dyDescent="0.25"/>
    <row r="33" ht="3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autoFill="0" autoPict="0" macro="[0]!Anteriorimagen">
                <anchor moveWithCells="1">
                  <from>
                    <xdr:col>4</xdr:col>
                    <xdr:colOff>285750</xdr:colOff>
                    <xdr:row>40</xdr:row>
                    <xdr:rowOff>123825</xdr:rowOff>
                  </from>
                  <to>
                    <xdr:col>4</xdr:col>
                    <xdr:colOff>1000125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autoFill="0" autoPict="0" macro="[0]!SiguienteImagen">
                <anchor moveWithCells="1">
                  <from>
                    <xdr:col>4</xdr:col>
                    <xdr:colOff>2476500</xdr:colOff>
                    <xdr:row>40</xdr:row>
                    <xdr:rowOff>133350</xdr:rowOff>
                  </from>
                  <to>
                    <xdr:col>4</xdr:col>
                    <xdr:colOff>3190875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autoFill="0" autoPict="0" macro="[0]!IniciarCarrusel">
                <anchor moveWithCells="1">
                  <from>
                    <xdr:col>4</xdr:col>
                    <xdr:colOff>1362075</xdr:colOff>
                    <xdr:row>40</xdr:row>
                    <xdr:rowOff>123825</xdr:rowOff>
                  </from>
                  <to>
                    <xdr:col>4</xdr:col>
                    <xdr:colOff>2076450</xdr:colOff>
                    <xdr:row>41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7"/>
      </x14:slicerList>
    </ext>
    <ext xmlns:x15="http://schemas.microsoft.com/office/spreadsheetml/2010/11/main" uri="{7E03D99C-DC04-49d9-9315-930204A7B6E9}">
      <x15:timelineRefs>
        <x15:timelineRef r:id="rId8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CB40395A-1DF0-46E2-AD05-BEC2D09C6A3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64FAAE27-AAB8-4268-8A3B-E76C7C0EC505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A5633E6D-E71F-4007-A9B8-EA43F21473D2}">
  <ds:schemaRefs>
    <ds:schemaRef ds:uri="http://www.w3.org/2001/XMLSchema"/>
    <ds:schemaRef ds:uri="http://microsoft.data.visualization.Client.Excel.LState/1.0"/>
  </ds:schemaRefs>
</ds:datastoreItem>
</file>

<file path=customXml/itemProps4.xml><?xml version="1.0" encoding="utf-8"?>
<ds:datastoreItem xmlns:ds="http://schemas.openxmlformats.org/officeDocument/2006/customXml" ds:itemID="{0F246537-C95C-4D26-9767-E6EEA4D4ED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Storytelling</vt:lpstr>
      <vt:lpstr>Base de datos sin trabajar</vt:lpstr>
      <vt:lpstr>Base de datos</vt:lpstr>
      <vt:lpstr>Preguntas y respuestas</vt:lpstr>
      <vt:lpstr>Rango etareo</vt:lpstr>
      <vt:lpstr>ARRESTOS</vt:lpstr>
      <vt:lpstr>ARMAS</vt:lpstr>
      <vt:lpstr>Paleta colores</vt:lpstr>
      <vt:lpstr>Barrios</vt:lpstr>
      <vt:lpstr>Data delincuentes</vt:lpstr>
      <vt:lpstr>Data victimas</vt:lpstr>
      <vt:lpstr>Tipos de delitos x año</vt:lpstr>
      <vt:lpstr>Delitos por día de la semana</vt:lpstr>
      <vt:lpstr>Franja horaria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vittorio durigutti</dc:creator>
  <cp:lastModifiedBy>vittorio durigutti</cp:lastModifiedBy>
  <dcterms:created xsi:type="dcterms:W3CDTF">2025-02-19T22:28:43Z</dcterms:created>
  <dcterms:modified xsi:type="dcterms:W3CDTF">2025-02-26T23:24:38Z</dcterms:modified>
</cp:coreProperties>
</file>