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uzhiguan/Production/WWWJ/1st round/ref/"/>
    </mc:Choice>
  </mc:AlternateContent>
  <bookViews>
    <workbookView xWindow="0" yWindow="460" windowWidth="28800" windowHeight="162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76" i="1" l="1"/>
  <c r="H1576" i="1"/>
  <c r="G1576" i="1"/>
  <c r="I1575" i="1"/>
  <c r="H1575" i="1"/>
  <c r="G1575" i="1"/>
  <c r="I1574" i="1"/>
  <c r="H1574" i="1"/>
  <c r="I1573" i="1"/>
  <c r="H1573" i="1"/>
  <c r="I1572" i="1"/>
  <c r="H1572" i="1"/>
  <c r="I1571" i="1"/>
  <c r="H1571" i="1"/>
  <c r="I1570" i="1"/>
  <c r="H1570" i="1"/>
  <c r="G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G1506" i="1"/>
  <c r="I1505" i="1"/>
  <c r="H1505" i="1"/>
  <c r="G1505" i="1"/>
  <c r="I1504" i="1"/>
  <c r="H1504" i="1"/>
  <c r="G1504" i="1"/>
  <c r="I1503" i="1"/>
  <c r="H1503" i="1"/>
  <c r="G1503" i="1"/>
  <c r="I1502" i="1"/>
  <c r="H1502" i="1"/>
  <c r="G1502" i="1"/>
  <c r="I1501" i="1"/>
  <c r="H1501" i="1"/>
  <c r="G1501" i="1"/>
  <c r="I1500" i="1"/>
  <c r="H1500" i="1"/>
  <c r="G1500" i="1"/>
  <c r="I1499" i="1"/>
  <c r="H1499" i="1"/>
  <c r="G1499" i="1"/>
  <c r="I1498" i="1"/>
  <c r="H1498" i="1"/>
  <c r="G1498" i="1"/>
  <c r="I1497" i="1"/>
  <c r="H1497" i="1"/>
  <c r="G1497" i="1"/>
  <c r="I1496" i="1"/>
  <c r="H1496" i="1"/>
  <c r="G1496" i="1"/>
  <c r="I1495" i="1"/>
  <c r="H1495" i="1"/>
  <c r="G1495" i="1"/>
  <c r="I1494" i="1"/>
  <c r="H1494" i="1"/>
  <c r="G1494" i="1"/>
  <c r="I1493" i="1"/>
  <c r="H1493" i="1"/>
  <c r="G1493" i="1"/>
  <c r="I1492" i="1"/>
  <c r="H1492" i="1"/>
  <c r="G1492" i="1"/>
  <c r="I1491" i="1"/>
  <c r="H1491" i="1"/>
  <c r="G1491" i="1"/>
  <c r="I1490" i="1"/>
  <c r="H1490" i="1"/>
  <c r="G1490" i="1"/>
  <c r="I1489" i="1"/>
  <c r="H1489" i="1"/>
  <c r="G1489" i="1"/>
  <c r="I1488" i="1"/>
  <c r="H1488" i="1"/>
  <c r="G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G1340" i="1"/>
  <c r="I1339" i="1"/>
  <c r="H1339" i="1"/>
  <c r="G1339" i="1"/>
  <c r="I1338" i="1"/>
  <c r="H1338" i="1"/>
  <c r="G1338" i="1"/>
  <c r="I1337" i="1"/>
  <c r="H1337" i="1"/>
  <c r="G1337" i="1"/>
  <c r="I1336" i="1"/>
  <c r="H1336" i="1"/>
  <c r="G1336" i="1"/>
  <c r="I1335" i="1"/>
  <c r="H1335" i="1"/>
  <c r="G1335" i="1"/>
  <c r="I1334" i="1"/>
  <c r="H1334" i="1"/>
  <c r="G1334" i="1"/>
  <c r="I1333" i="1"/>
  <c r="H1333" i="1"/>
  <c r="G1333" i="1"/>
  <c r="I1332" i="1"/>
  <c r="H1332" i="1"/>
  <c r="G1332" i="1"/>
  <c r="I1331" i="1"/>
  <c r="H1331" i="1"/>
  <c r="G1331" i="1"/>
  <c r="I1330" i="1"/>
  <c r="H1330" i="1"/>
  <c r="G1330" i="1"/>
  <c r="I1329" i="1"/>
  <c r="H1329" i="1"/>
  <c r="G1329" i="1"/>
  <c r="I1328" i="1"/>
  <c r="H1328" i="1"/>
  <c r="G1328" i="1"/>
  <c r="I1327" i="1"/>
  <c r="H1327" i="1"/>
  <c r="G1327" i="1"/>
  <c r="I1326" i="1"/>
  <c r="H1326" i="1"/>
  <c r="G1326" i="1"/>
  <c r="I1325" i="1"/>
  <c r="H1325" i="1"/>
  <c r="G1325" i="1"/>
  <c r="I1324" i="1"/>
  <c r="H1324" i="1"/>
  <c r="G1324" i="1"/>
  <c r="I1323" i="1"/>
  <c r="H1323" i="1"/>
  <c r="G1323" i="1"/>
  <c r="I1322" i="1"/>
  <c r="H1322" i="1"/>
  <c r="G1322" i="1"/>
  <c r="I1321" i="1"/>
  <c r="H1321" i="1"/>
  <c r="G1321" i="1"/>
  <c r="I1320" i="1"/>
  <c r="H1320" i="1"/>
  <c r="G1320" i="1"/>
  <c r="I1319" i="1"/>
  <c r="H1319" i="1"/>
  <c r="G1319" i="1"/>
  <c r="I1318" i="1"/>
  <c r="H1318" i="1"/>
  <c r="G1318" i="1"/>
  <c r="I1317" i="1"/>
  <c r="H1317" i="1"/>
  <c r="G1317" i="1"/>
  <c r="I1316" i="1"/>
  <c r="H1316" i="1"/>
  <c r="G1316" i="1"/>
  <c r="I1315" i="1"/>
  <c r="H1315" i="1"/>
  <c r="G1315" i="1"/>
  <c r="I1314" i="1"/>
  <c r="H1314" i="1"/>
  <c r="G1314" i="1"/>
  <c r="I1313" i="1"/>
  <c r="H1313" i="1"/>
  <c r="G1313" i="1"/>
  <c r="I1312" i="1"/>
  <c r="H1312" i="1"/>
  <c r="G1312" i="1"/>
  <c r="I1311" i="1"/>
  <c r="H1311" i="1"/>
  <c r="G1311" i="1"/>
  <c r="I1310" i="1"/>
  <c r="H1310" i="1"/>
  <c r="G1310" i="1"/>
  <c r="I1309" i="1"/>
  <c r="H1309" i="1"/>
  <c r="G1309" i="1"/>
  <c r="I1308" i="1"/>
  <c r="H1308" i="1"/>
  <c r="G1308" i="1"/>
  <c r="I1307" i="1"/>
  <c r="H1307" i="1"/>
  <c r="G1307" i="1"/>
  <c r="I1306" i="1"/>
  <c r="H1306" i="1"/>
  <c r="G1306" i="1"/>
  <c r="I1305" i="1"/>
  <c r="H1305" i="1"/>
  <c r="G1305" i="1"/>
  <c r="I1304" i="1"/>
  <c r="H1304" i="1"/>
  <c r="G1304" i="1"/>
  <c r="I1303" i="1"/>
  <c r="H1303" i="1"/>
  <c r="G1303" i="1"/>
  <c r="I1302" i="1"/>
  <c r="H1302" i="1"/>
  <c r="G1302" i="1"/>
  <c r="I1301" i="1"/>
  <c r="H1301" i="1"/>
  <c r="G1301" i="1"/>
  <c r="I1300" i="1"/>
  <c r="H1300" i="1"/>
  <c r="G1300" i="1"/>
  <c r="I1299" i="1"/>
  <c r="H1299" i="1"/>
  <c r="G1299" i="1"/>
  <c r="I1298" i="1"/>
  <c r="H1298" i="1"/>
  <c r="G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G808" i="1"/>
  <c r="I807" i="1"/>
  <c r="H807" i="1"/>
  <c r="G807" i="1"/>
  <c r="I806" i="1"/>
  <c r="H806" i="1"/>
  <c r="G806" i="1"/>
  <c r="I805" i="1"/>
  <c r="H805" i="1"/>
  <c r="G805" i="1"/>
  <c r="I804" i="1"/>
  <c r="H804" i="1"/>
  <c r="G804" i="1"/>
  <c r="I803" i="1"/>
  <c r="H803" i="1"/>
  <c r="G803" i="1"/>
  <c r="I802" i="1"/>
  <c r="H802" i="1"/>
  <c r="G802" i="1"/>
  <c r="I801" i="1"/>
  <c r="H801" i="1"/>
  <c r="G801" i="1"/>
  <c r="I800" i="1"/>
  <c r="H800" i="1"/>
  <c r="G800" i="1"/>
  <c r="I799" i="1"/>
  <c r="H799" i="1"/>
  <c r="G799" i="1"/>
  <c r="I798" i="1"/>
  <c r="H798" i="1"/>
  <c r="G798" i="1"/>
  <c r="I797" i="1"/>
  <c r="H797" i="1"/>
  <c r="G797" i="1"/>
  <c r="I796" i="1"/>
  <c r="H796" i="1"/>
  <c r="G796" i="1"/>
  <c r="I795" i="1"/>
  <c r="H795" i="1"/>
  <c r="G795" i="1"/>
  <c r="I794" i="1"/>
  <c r="H794" i="1"/>
  <c r="G794" i="1"/>
  <c r="I793" i="1"/>
  <c r="H793" i="1"/>
  <c r="G793" i="1"/>
  <c r="I792" i="1"/>
  <c r="H792" i="1"/>
  <c r="G792" i="1"/>
  <c r="I791" i="1"/>
  <c r="H791" i="1"/>
  <c r="G791" i="1"/>
  <c r="I790" i="1"/>
  <c r="H790" i="1"/>
  <c r="G790" i="1"/>
  <c r="I789" i="1"/>
  <c r="H789" i="1"/>
  <c r="G789" i="1"/>
  <c r="I788" i="1"/>
  <c r="H788" i="1"/>
  <c r="G788" i="1"/>
  <c r="I787" i="1"/>
  <c r="H787" i="1"/>
  <c r="G787" i="1"/>
  <c r="I786" i="1"/>
  <c r="H786" i="1"/>
  <c r="G786" i="1"/>
  <c r="I785" i="1"/>
  <c r="H785" i="1"/>
  <c r="G785" i="1"/>
  <c r="I784" i="1"/>
  <c r="H784" i="1"/>
  <c r="G784" i="1"/>
  <c r="I783" i="1"/>
  <c r="H783" i="1"/>
  <c r="G783" i="1"/>
  <c r="I782" i="1"/>
  <c r="H782" i="1"/>
  <c r="G782" i="1"/>
  <c r="I781" i="1"/>
  <c r="H781" i="1"/>
  <c r="G781" i="1"/>
  <c r="I780" i="1"/>
  <c r="H780" i="1"/>
  <c r="G780" i="1"/>
  <c r="I779" i="1"/>
  <c r="H779" i="1"/>
  <c r="G779" i="1"/>
  <c r="I778" i="1"/>
  <c r="H778" i="1"/>
  <c r="G778" i="1"/>
  <c r="I777" i="1"/>
  <c r="H777" i="1"/>
  <c r="G777" i="1"/>
  <c r="I776" i="1"/>
  <c r="H776" i="1"/>
  <c r="G776" i="1"/>
  <c r="I775" i="1"/>
  <c r="H775" i="1"/>
  <c r="G775" i="1"/>
  <c r="I774" i="1"/>
  <c r="H774" i="1"/>
  <c r="G774" i="1"/>
  <c r="I773" i="1"/>
  <c r="H773" i="1"/>
  <c r="G773" i="1"/>
  <c r="I772" i="1"/>
  <c r="H772" i="1"/>
  <c r="G772" i="1"/>
  <c r="I771" i="1"/>
  <c r="H771" i="1"/>
  <c r="G771" i="1"/>
  <c r="I770" i="1"/>
  <c r="H770" i="1"/>
  <c r="G770" i="1"/>
  <c r="I769" i="1"/>
  <c r="H769" i="1"/>
  <c r="G769" i="1"/>
  <c r="I768" i="1"/>
  <c r="H768" i="1"/>
  <c r="G768" i="1"/>
  <c r="I767" i="1"/>
  <c r="H767" i="1"/>
  <c r="G767" i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60" i="1"/>
  <c r="H760" i="1"/>
  <c r="G760" i="1"/>
  <c r="I759" i="1"/>
  <c r="H759" i="1"/>
  <c r="G759" i="1"/>
  <c r="I758" i="1"/>
  <c r="H758" i="1"/>
  <c r="G758" i="1"/>
  <c r="I757" i="1"/>
  <c r="H757" i="1"/>
  <c r="G757" i="1"/>
  <c r="I756" i="1"/>
  <c r="H756" i="1"/>
  <c r="G756" i="1"/>
  <c r="I755" i="1"/>
  <c r="H755" i="1"/>
  <c r="G755" i="1"/>
  <c r="I754" i="1"/>
  <c r="H754" i="1"/>
  <c r="G754" i="1"/>
  <c r="I753" i="1"/>
  <c r="H753" i="1"/>
  <c r="G753" i="1"/>
  <c r="I752" i="1"/>
  <c r="H752" i="1"/>
  <c r="G752" i="1"/>
  <c r="I751" i="1"/>
  <c r="H751" i="1"/>
  <c r="G751" i="1"/>
  <c r="I750" i="1"/>
  <c r="H750" i="1"/>
  <c r="G750" i="1"/>
  <c r="I749" i="1"/>
  <c r="H749" i="1"/>
  <c r="G749" i="1"/>
  <c r="I748" i="1"/>
  <c r="H748" i="1"/>
  <c r="G748" i="1"/>
  <c r="I747" i="1"/>
  <c r="H747" i="1"/>
  <c r="G747" i="1"/>
  <c r="I746" i="1"/>
  <c r="H746" i="1"/>
  <c r="G746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1" i="1"/>
  <c r="H741" i="1"/>
  <c r="G741" i="1"/>
  <c r="I740" i="1"/>
  <c r="H740" i="1"/>
  <c r="G740" i="1"/>
  <c r="I739" i="1"/>
  <c r="H739" i="1"/>
  <c r="G739" i="1"/>
  <c r="I738" i="1"/>
  <c r="H738" i="1"/>
  <c r="G738" i="1"/>
  <c r="I737" i="1"/>
  <c r="H737" i="1"/>
  <c r="G737" i="1"/>
  <c r="I736" i="1"/>
  <c r="H736" i="1"/>
  <c r="G736" i="1"/>
  <c r="I735" i="1"/>
  <c r="H735" i="1"/>
  <c r="G735" i="1"/>
  <c r="I734" i="1"/>
  <c r="H734" i="1"/>
  <c r="G734" i="1"/>
  <c r="I733" i="1"/>
  <c r="H733" i="1"/>
  <c r="G733" i="1"/>
  <c r="I732" i="1"/>
  <c r="H732" i="1"/>
  <c r="G732" i="1"/>
  <c r="I731" i="1"/>
  <c r="H731" i="1"/>
  <c r="G731" i="1"/>
  <c r="I730" i="1"/>
  <c r="H730" i="1"/>
  <c r="G730" i="1"/>
  <c r="I729" i="1"/>
  <c r="H729" i="1"/>
  <c r="G729" i="1"/>
  <c r="I728" i="1"/>
  <c r="H728" i="1"/>
  <c r="G728" i="1"/>
  <c r="I727" i="1"/>
  <c r="H727" i="1"/>
  <c r="G727" i="1"/>
  <c r="I726" i="1"/>
  <c r="H726" i="1"/>
  <c r="G726" i="1"/>
  <c r="I725" i="1"/>
  <c r="H725" i="1"/>
  <c r="G725" i="1"/>
  <c r="I724" i="1"/>
  <c r="H724" i="1"/>
  <c r="G724" i="1"/>
  <c r="I723" i="1"/>
  <c r="H723" i="1"/>
  <c r="G723" i="1"/>
  <c r="I722" i="1"/>
  <c r="H722" i="1"/>
  <c r="G722" i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<sst xmlns="http://schemas.openxmlformats.org/spreadsheetml/2006/main" count="6001" uniqueCount="1596">
  <si>
    <t>Ctg.0</t>
  </si>
  <si>
    <t>Ctg.1</t>
  </si>
  <si>
    <t>Ctg.2</t>
  </si>
  <si>
    <t># @ ctg.0</t>
  </si>
  <si>
    <t># @ ctg.1</t>
  </si>
  <si>
    <t># @ ctg.2</t>
  </si>
  <si>
    <t>Ctg.0 en</t>
  </si>
  <si>
    <t>Ctg.1 en</t>
  </si>
  <si>
    <t>Ctg.2 en</t>
  </si>
  <si>
    <t>居家百货</t>
  </si>
  <si>
    <t>日用百货</t>
  </si>
  <si>
    <t>居家鞋类/拖鞋/雨鞋</t>
  </si>
  <si>
    <t>Toiletries</t>
  </si>
  <si>
    <t>其他居家日用</t>
  </si>
  <si>
    <t>防蚊贴/防蚊手环</t>
  </si>
  <si>
    <t>家庭/个人清洁工具</t>
  </si>
  <si>
    <t>伞/伞架/伞配件</t>
  </si>
  <si>
    <t>挤牙膏器/牙刷架/牙具座</t>
  </si>
  <si>
    <t>灭鼠/杀虫剂/粘蝇纸/驱蚊草</t>
  </si>
  <si>
    <t>迷你暖风机/迷你风扇</t>
  </si>
  <si>
    <t>蚊香液</t>
  </si>
  <si>
    <t>收纳整理</t>
  </si>
  <si>
    <t>沙发垫/冰垫等</t>
  </si>
  <si>
    <t>人体秤/体重秤</t>
  </si>
  <si>
    <t>美容/减肥小工具</t>
  </si>
  <si>
    <t>灭蚊灯/吸蚊灯/灭蝇灯</t>
  </si>
  <si>
    <t>电蚊拍/苍蝇拍</t>
  </si>
  <si>
    <t>厨房/烹饪用具</t>
  </si>
  <si>
    <t>粘钩</t>
  </si>
  <si>
    <t>雨披雨衣</t>
  </si>
  <si>
    <t>手/腿/腕/胸/膝/腰/肘部防护用品</t>
  </si>
  <si>
    <t>保暖贴</t>
  </si>
  <si>
    <t>香薰精油/香料</t>
  </si>
  <si>
    <t>艾灸/针灸工具</t>
  </si>
  <si>
    <t>空气净化剂/芳香剂</t>
  </si>
  <si>
    <t>皂盒/皂网/架</t>
  </si>
  <si>
    <t>口罩</t>
  </si>
  <si>
    <t>洗漱杯</t>
  </si>
  <si>
    <t>浴室角架/置物架/套件及配件</t>
  </si>
  <si>
    <t>花洒/淋蓬头</t>
  </si>
  <si>
    <t>香薰</t>
  </si>
  <si>
    <t>防雨布/雨罩/雨棚</t>
  </si>
  <si>
    <t>鞋垫/发热鞋垫/增高鞋垫</t>
  </si>
  <si>
    <t>超声波驱蚊器/电子驱蚊器</t>
  </si>
  <si>
    <t>过滤器/净水器</t>
  </si>
  <si>
    <t>眼罩</t>
  </si>
  <si>
    <t>电蚊香套装</t>
  </si>
  <si>
    <t>马桶刷/厕所刷</t>
  </si>
  <si>
    <t>马桶套/马桶座圈</t>
  </si>
  <si>
    <t>竹炭包/碳盒/活性炭</t>
  </si>
  <si>
    <t>灭鼠笼/捕鼠器</t>
  </si>
  <si>
    <t>照明电筒</t>
  </si>
  <si>
    <t>剪刀/美发剪/食物剪</t>
  </si>
  <si>
    <t>沐浴桶/沐浴盆</t>
  </si>
  <si>
    <t>餐饮具</t>
  </si>
  <si>
    <t>冰箱除味剂/干燥剂</t>
  </si>
  <si>
    <t>防潮垫/抽屉垫</t>
  </si>
  <si>
    <t>盘香/灭蟑香/蚊香盘</t>
  </si>
  <si>
    <t>鞋刷/鞋擦</t>
  </si>
  <si>
    <t>蚊香片</t>
  </si>
  <si>
    <t>梳妆镜/柜镜</t>
  </si>
  <si>
    <t>毛巾挂/毛巾架</t>
  </si>
  <si>
    <t>防霉防蛀片</t>
  </si>
  <si>
    <t>卷纸器/纸巾架</t>
  </si>
  <si>
    <t>鞋套</t>
  </si>
  <si>
    <t>扇子/扇子配件</t>
  </si>
  <si>
    <t>手动按摩工具</t>
  </si>
  <si>
    <t>水塞</t>
  </si>
  <si>
    <t>甲醛清除剂/甲醛测试</t>
  </si>
  <si>
    <t>热水袋/热水袋套</t>
  </si>
  <si>
    <t>落地镜/双面镜/浴室镜</t>
  </si>
  <si>
    <t>管道疏通器</t>
  </si>
  <si>
    <t>足浴盆/桶</t>
  </si>
  <si>
    <t>保暖手套</t>
  </si>
  <si>
    <t>塑身腰腹带</t>
  </si>
  <si>
    <t>痰盂</t>
  </si>
  <si>
    <t>烘鞋器</t>
  </si>
  <si>
    <t>杯架</t>
  </si>
  <si>
    <t>怀炉/专用油/怀炉套</t>
  </si>
  <si>
    <t>蚊香加热器</t>
  </si>
  <si>
    <t>蜡烛/香薰蜡烛</t>
  </si>
  <si>
    <t>家用梯</t>
  </si>
  <si>
    <t>鞋拔/鞋塞/鞋撑/鞋夹</t>
  </si>
  <si>
    <t>桌上暖垫</t>
  </si>
  <si>
    <t>纸品/湿巾</t>
  </si>
  <si>
    <t>抽纸</t>
  </si>
  <si>
    <t>手帕纸</t>
  </si>
  <si>
    <t>卷筒纸</t>
  </si>
  <si>
    <t>卫生纸</t>
  </si>
  <si>
    <t>湿巾</t>
  </si>
  <si>
    <t>家用防油贴纸</t>
  </si>
  <si>
    <t>厨房纸巾</t>
  </si>
  <si>
    <t>其他</t>
  </si>
  <si>
    <t>平板卫生纸</t>
  </si>
  <si>
    <t>吸油纸/膜</t>
  </si>
  <si>
    <t>收纳/整理/晾晒</t>
  </si>
  <si>
    <t>衣架</t>
  </si>
  <si>
    <t>收纳箱</t>
  </si>
  <si>
    <t>收纳柜</t>
  </si>
  <si>
    <t>晒衣架</t>
  </si>
  <si>
    <t>收纳袋</t>
  </si>
  <si>
    <t>收纳盒</t>
  </si>
  <si>
    <t>收纳篮</t>
  </si>
  <si>
    <t>挂钩/粘钩</t>
  </si>
  <si>
    <t>整理架/置物架/收纳架</t>
  </si>
  <si>
    <t>收纳架</t>
  </si>
  <si>
    <t>裤架</t>
  </si>
  <si>
    <t>夹子/收纳夹子</t>
  </si>
  <si>
    <t>收纳包</t>
  </si>
  <si>
    <t>毛球修剪器</t>
  </si>
  <si>
    <t>置地升降晾晒衣架</t>
  </si>
  <si>
    <t>医药箱</t>
  </si>
  <si>
    <t>护洗袋</t>
  </si>
  <si>
    <t>衣帽架</t>
  </si>
  <si>
    <t>收纳凳</t>
  </si>
  <si>
    <t>晒衣篮</t>
  </si>
  <si>
    <t>收纳套</t>
  </si>
  <si>
    <t>收纳罐</t>
  </si>
  <si>
    <t>收纳桶</t>
  </si>
  <si>
    <t>衣物除尘滚/粘毛滚</t>
  </si>
  <si>
    <t>绳子</t>
  </si>
  <si>
    <t>晾衣杆</t>
  </si>
  <si>
    <t>搓衣板</t>
  </si>
  <si>
    <t>桌脚垫</t>
  </si>
  <si>
    <t>整理隔板</t>
  </si>
  <si>
    <t>领带架</t>
  </si>
  <si>
    <t>鞋罩/鞋袋/鞋盒</t>
  </si>
  <si>
    <t>理线器/集线器/绕线器</t>
  </si>
  <si>
    <t>收纳瓶</t>
  </si>
  <si>
    <t>抽气泵</t>
  </si>
  <si>
    <t>除尘刷</t>
  </si>
  <si>
    <t>烫衣板</t>
  </si>
  <si>
    <t>双面粘物器</t>
  </si>
  <si>
    <t>叠衣板</t>
  </si>
  <si>
    <t>衣物清洁剂/护理剂</t>
  </si>
  <si>
    <t>洗衣液</t>
  </si>
  <si>
    <t>洗衣皂</t>
  </si>
  <si>
    <t>洗衣粉</t>
  </si>
  <si>
    <t>衣物柔顺剂</t>
  </si>
  <si>
    <t>吸色片</t>
  </si>
  <si>
    <t>漂白剂</t>
  </si>
  <si>
    <t>彩漂</t>
  </si>
  <si>
    <t>衣领净</t>
  </si>
  <si>
    <t>干洗剂</t>
  </si>
  <si>
    <t>塑杯</t>
  </si>
  <si>
    <t>玻璃杯</t>
  </si>
  <si>
    <t>吸管杯</t>
  </si>
  <si>
    <t>筷子</t>
  </si>
  <si>
    <t>保温杯/壶</t>
  </si>
  <si>
    <t>碗</t>
  </si>
  <si>
    <t>保鲜盒</t>
  </si>
  <si>
    <t>随手杯/热水瓶</t>
  </si>
  <si>
    <t>饭盒/保温桶/保温提锅</t>
  </si>
  <si>
    <t>果盘</t>
  </si>
  <si>
    <t>叉子</t>
  </si>
  <si>
    <t>保鲜膜</t>
  </si>
  <si>
    <t>太空杯</t>
  </si>
  <si>
    <t>勺子</t>
  </si>
  <si>
    <t>冷水壶</t>
  </si>
  <si>
    <t>叉勺筷套装</t>
  </si>
  <si>
    <t>保鲜袋</t>
  </si>
  <si>
    <t>防漏/密封杯</t>
  </si>
  <si>
    <t>餐具瓷器套装</t>
  </si>
  <si>
    <t>杯垫</t>
  </si>
  <si>
    <t>一次性餐饮用品</t>
  </si>
  <si>
    <t>茶具套装</t>
  </si>
  <si>
    <t>马克杯</t>
  </si>
  <si>
    <t>便携/折叠餐具</t>
  </si>
  <si>
    <t>牛奶杯</t>
  </si>
  <si>
    <t>吸管</t>
  </si>
  <si>
    <t>保鲜盖</t>
  </si>
  <si>
    <t>环保餐具</t>
  </si>
  <si>
    <t>摇摇杯</t>
  </si>
  <si>
    <t>运动壶/旅行壶</t>
  </si>
  <si>
    <t>柠檬杯</t>
  </si>
  <si>
    <t>冰桶</t>
  </si>
  <si>
    <t>开瓶器</t>
  </si>
  <si>
    <t>咖啡杯</t>
  </si>
  <si>
    <t>茶道/零配</t>
  </si>
  <si>
    <t>杯盖</t>
  </si>
  <si>
    <t>酒壶</t>
  </si>
  <si>
    <t>冰夹</t>
  </si>
  <si>
    <t>飘逸杯</t>
  </si>
  <si>
    <t>封口膜</t>
  </si>
  <si>
    <t>磨豆机</t>
  </si>
  <si>
    <t>咖啡壶</t>
  </si>
  <si>
    <t>酒杯</t>
  </si>
  <si>
    <t>杯套</t>
  </si>
  <si>
    <t>餐刀</t>
  </si>
  <si>
    <t>家庭清洁用具/用品</t>
  </si>
  <si>
    <t>垃圾袋</t>
  </si>
  <si>
    <t>家务手套</t>
  </si>
  <si>
    <t>袖套</t>
  </si>
  <si>
    <t>洗衣机槽清洁剂</t>
  </si>
  <si>
    <t>马桶清洁剂/洁厕剂</t>
  </si>
  <si>
    <t>旋转拖把</t>
  </si>
  <si>
    <t>百洁布</t>
  </si>
  <si>
    <t>胶棉拖把</t>
  </si>
  <si>
    <t>海绵擦</t>
  </si>
  <si>
    <t>平板拖把</t>
  </si>
  <si>
    <t>抹布</t>
  </si>
  <si>
    <t>围裙</t>
  </si>
  <si>
    <t>刷子</t>
  </si>
  <si>
    <t>消毒液</t>
  </si>
  <si>
    <t>垃圾桶/垃圾架</t>
  </si>
  <si>
    <t>拖把配件</t>
  </si>
  <si>
    <t>扫把/扫把头</t>
  </si>
  <si>
    <t>洗洁精</t>
  </si>
  <si>
    <t>玻璃清洁器及配件</t>
  </si>
  <si>
    <t>钢丝球</t>
  </si>
  <si>
    <t>鞋靴干洗剂</t>
  </si>
  <si>
    <t>油污清洁剂</t>
  </si>
  <si>
    <t>管道疏通剂</t>
  </si>
  <si>
    <t>空调清洁剂</t>
  </si>
  <si>
    <t>多用途清洁剂</t>
  </si>
  <si>
    <t>围裙袖套套装</t>
  </si>
  <si>
    <t>脸盆</t>
  </si>
  <si>
    <t>鞋油</t>
  </si>
  <si>
    <t>除尘掸/掸头</t>
  </si>
  <si>
    <t>水垢清洁剂/除垢剂</t>
  </si>
  <si>
    <t>地面清洁/保养剂</t>
  </si>
  <si>
    <t>水拖</t>
  </si>
  <si>
    <t>玻璃清洁剂</t>
  </si>
  <si>
    <t>水桶</t>
  </si>
  <si>
    <t>家私清洁/护理剂</t>
  </si>
  <si>
    <t>簸箕</t>
  </si>
  <si>
    <t>墙体除霉剂</t>
  </si>
  <si>
    <t>桌面清洁套装</t>
  </si>
  <si>
    <t>垃圾夹</t>
  </si>
  <si>
    <t>擦地拖鞋</t>
  </si>
  <si>
    <t>洁瓷剂</t>
  </si>
  <si>
    <t>静电除尘纸</t>
  </si>
  <si>
    <t>小型吸尘器</t>
  </si>
  <si>
    <t>布艺用品清洁剂</t>
  </si>
  <si>
    <t>厨房/烹饪/烘焙用具</t>
  </si>
  <si>
    <t>厨房小工具套装</t>
  </si>
  <si>
    <t>DIY模具</t>
  </si>
  <si>
    <t>厨房置物架/角架/壁挂等</t>
  </si>
  <si>
    <t>冰格/刨冰机</t>
  </si>
  <si>
    <t>厨房储物器皿</t>
  </si>
  <si>
    <t>锅</t>
  </si>
  <si>
    <t>手动榨汁器</t>
  </si>
  <si>
    <t>砧板/菜板</t>
  </si>
  <si>
    <t>刀具</t>
  </si>
  <si>
    <t>刀架/锅盖架</t>
  </si>
  <si>
    <t>剥蒜器/压蒜器</t>
  </si>
  <si>
    <t>滤水器/净水器</t>
  </si>
  <si>
    <t>水果分割器</t>
  </si>
  <si>
    <t>烘焙模具</t>
  </si>
  <si>
    <t>绞肉机/碎肉宝</t>
  </si>
  <si>
    <t>面条机/压面机</t>
  </si>
  <si>
    <t>手压式饮水器</t>
  </si>
  <si>
    <t>多功能切菜机</t>
  </si>
  <si>
    <t>蛋清分离器/打蛋器/切蛋器等</t>
  </si>
  <si>
    <t>锡纸/油纸</t>
  </si>
  <si>
    <t>包饺子器</t>
  </si>
  <si>
    <t>点心包装盒/包装袋/甜点杯子</t>
  </si>
  <si>
    <t>厨房秤/计量秤</t>
  </si>
  <si>
    <t>烹饪勺铲</t>
  </si>
  <si>
    <t>烧水壶</t>
  </si>
  <si>
    <t>烧烤炉/烧烤架</t>
  </si>
  <si>
    <t>封口夹/封口机</t>
  </si>
  <si>
    <t>烘焙器具套装</t>
  </si>
  <si>
    <t>煲</t>
  </si>
  <si>
    <t>烹饪工具套装</t>
  </si>
  <si>
    <t>微波炉手套/专用盒类</t>
  </si>
  <si>
    <t>烧烤刷/网/盘等</t>
  </si>
  <si>
    <t>擀面杖</t>
  </si>
  <si>
    <t>烧烤夹/叉/铲/针</t>
  </si>
  <si>
    <t>开橙器/剥橙器</t>
  </si>
  <si>
    <t>定时器/计时器/提醒器</t>
  </si>
  <si>
    <t>量秤</t>
  </si>
  <si>
    <t>烘焙用纸</t>
  </si>
  <si>
    <t>寿司DIY用具</t>
  </si>
  <si>
    <t>烧烤用具套装</t>
  </si>
  <si>
    <t>核桃夹</t>
  </si>
  <si>
    <t>敲肉锤</t>
  </si>
  <si>
    <t>烧烤车</t>
  </si>
  <si>
    <t>面粉筛</t>
  </si>
  <si>
    <t>烘焙机</t>
  </si>
  <si>
    <t>量勺</t>
  </si>
  <si>
    <t>厨房点火器/点火棒</t>
  </si>
  <si>
    <t>旋盖小宝</t>
  </si>
  <si>
    <t>裱花嘴/裱花枪/裱花袋</t>
  </si>
  <si>
    <t>烧烤碳</t>
  </si>
  <si>
    <t>小型煤气灶</t>
  </si>
  <si>
    <t>家具家饰</t>
  </si>
  <si>
    <t>灯/台灯</t>
  </si>
  <si>
    <t>柜子</t>
  </si>
  <si>
    <t>地垫/地毯</t>
  </si>
  <si>
    <t>住宅家具/商业办公家具</t>
  </si>
  <si>
    <t>坐具类</t>
  </si>
  <si>
    <t>户外/庭院家居</t>
  </si>
  <si>
    <t>穿衣镜/化妆镜</t>
  </si>
  <si>
    <t>学习桌/写字台</t>
  </si>
  <si>
    <t>桌子</t>
  </si>
  <si>
    <t>床/床垫</t>
  </si>
  <si>
    <t>沙发</t>
  </si>
  <si>
    <t>屏风/花窗</t>
  </si>
  <si>
    <t>几类</t>
  </si>
  <si>
    <t>箱类</t>
  </si>
  <si>
    <t>汽车用品配件饰品</t>
  </si>
  <si>
    <t>摆件</t>
  </si>
  <si>
    <t>遮阳挡</t>
  </si>
  <si>
    <t>腰靠</t>
  </si>
  <si>
    <t>汽车香水/净化/降温剂</t>
  </si>
  <si>
    <t>车载手机座</t>
  </si>
  <si>
    <t>车刷</t>
  </si>
  <si>
    <t>汽车坐垫</t>
  </si>
  <si>
    <t>洗车水枪</t>
  </si>
  <si>
    <t>擦车巾</t>
  </si>
  <si>
    <t>方向盘套</t>
  </si>
  <si>
    <t>车载垃圾桶</t>
  </si>
  <si>
    <t>车用清洗/除蜡/除胶剂</t>
  </si>
  <si>
    <t>头枕</t>
  </si>
  <si>
    <t>车载吸尘器</t>
  </si>
  <si>
    <t>汽车脚垫</t>
  </si>
  <si>
    <t>防滑垫/防护垫</t>
  </si>
  <si>
    <t>cd包/夹/袋</t>
  </si>
  <si>
    <t>洗车海绵/洗车泥</t>
  </si>
  <si>
    <t>抱枕</t>
  </si>
  <si>
    <t>座椅凉席</t>
  </si>
  <si>
    <t>汽车座套</t>
  </si>
  <si>
    <t>车用水桶</t>
  </si>
  <si>
    <t>车用窗帘</t>
  </si>
  <si>
    <t>行车记录仪</t>
  </si>
  <si>
    <t>汽车后备箱垫</t>
  </si>
  <si>
    <t>汽车清洗手套</t>
  </si>
  <si>
    <t>手刹/档把/套饰套装</t>
  </si>
  <si>
    <t>安全锤</t>
  </si>
  <si>
    <t>成人文具</t>
  </si>
  <si>
    <t>练字帖</t>
  </si>
  <si>
    <t>宝珠/走珠/签字笔</t>
  </si>
  <si>
    <t>木质铅笔</t>
  </si>
  <si>
    <t>绘图纸/白图纸</t>
  </si>
  <si>
    <t>水彩/水粉颜料</t>
  </si>
  <si>
    <t>圆珠笔</t>
  </si>
  <si>
    <t>封皮/封面</t>
  </si>
  <si>
    <t>文件夹/文件袋</t>
  </si>
  <si>
    <t>记号笔/马克笔</t>
  </si>
  <si>
    <t>修正液/带/贴</t>
  </si>
  <si>
    <t>计算器</t>
  </si>
  <si>
    <t>打印纸</t>
  </si>
  <si>
    <t>彩色铅笔</t>
  </si>
  <si>
    <t>胶带纸/胶条</t>
  </si>
  <si>
    <t>尺</t>
  </si>
  <si>
    <t>订书机/打孔机</t>
  </si>
  <si>
    <t>放大镜</t>
  </si>
  <si>
    <t>钢笔</t>
  </si>
  <si>
    <t>回形针/大头针/图钉</t>
  </si>
  <si>
    <t>票夹/长尾夹</t>
  </si>
  <si>
    <t>胶/胶水</t>
  </si>
  <si>
    <t>书法用纸/铅画纸</t>
  </si>
  <si>
    <t>剪刀</t>
  </si>
  <si>
    <t>手工纸</t>
  </si>
  <si>
    <t>笔架/笔插/笔筒</t>
  </si>
  <si>
    <t>自动铅笔</t>
  </si>
  <si>
    <t>便签夹/照片夹</t>
  </si>
  <si>
    <t>美工刀</t>
  </si>
  <si>
    <t>墨/墨水</t>
  </si>
  <si>
    <t>草稿纸</t>
  </si>
  <si>
    <t>账本/账册</t>
  </si>
  <si>
    <t>信封/明信片/贺卡</t>
  </si>
  <si>
    <t>文件筐/文件柜</t>
  </si>
  <si>
    <t>圆规</t>
  </si>
  <si>
    <t>节庆用品/礼品</t>
  </si>
  <si>
    <t>相册</t>
  </si>
  <si>
    <t>贴纸</t>
  </si>
  <si>
    <t>DIY手工</t>
  </si>
  <si>
    <t>创意礼品</t>
  </si>
  <si>
    <t>气球/气球配件</t>
  </si>
  <si>
    <t>喜字/剪纸/窗花</t>
  </si>
  <si>
    <t>其他节庆用品</t>
  </si>
  <si>
    <t>中国结</t>
  </si>
  <si>
    <t>挂饰/生肖挂饰</t>
  </si>
  <si>
    <t>红包/利是封</t>
  </si>
  <si>
    <t>蜡烛</t>
  </si>
  <si>
    <t>对联</t>
  </si>
  <si>
    <t>贺卡/明信片</t>
  </si>
  <si>
    <t>家用电器</t>
  </si>
  <si>
    <t>个护电器/小家电</t>
  </si>
  <si>
    <t>床上用品</t>
  </si>
  <si>
    <t>床品配件</t>
  </si>
  <si>
    <t>玩具文体</t>
  </si>
  <si>
    <t>早教/智能玩具</t>
  </si>
  <si>
    <t>早教读物/识字卡</t>
  </si>
  <si>
    <t>Toys</t>
  </si>
  <si>
    <t>多功能玩具台/游戏桌</t>
  </si>
  <si>
    <t>故事机/早教机/儿童mp3</t>
  </si>
  <si>
    <t>其他早教玩具</t>
  </si>
  <si>
    <t>认知挂图/形状认知</t>
  </si>
  <si>
    <t>钓鱼/打地鼠/敲打类</t>
  </si>
  <si>
    <t>钓鱼类</t>
  </si>
  <si>
    <t>智能手表/智能电话</t>
  </si>
  <si>
    <t>串珠/绕珠/蘑菇钉</t>
  </si>
  <si>
    <t>益智动脑/游戏贴画类</t>
  </si>
  <si>
    <t>拼图/拼板</t>
  </si>
  <si>
    <t>拆装组合类</t>
  </si>
  <si>
    <t>悠悠球/多米诺骨牌</t>
  </si>
  <si>
    <t>数字屋/形状配对</t>
  </si>
  <si>
    <t>手抓球</t>
  </si>
  <si>
    <t>叠叠圈/叠套玩具</t>
  </si>
  <si>
    <t>插珠/蘑菇钉</t>
  </si>
  <si>
    <t>早教闪卡/潜能开发卡</t>
  </si>
  <si>
    <t>打地鼠</t>
  </si>
  <si>
    <t>磁性贴</t>
  </si>
  <si>
    <t>积木类玩具</t>
  </si>
  <si>
    <t>书籍/报纸/杂志</t>
  </si>
  <si>
    <t>动漫/卡通</t>
  </si>
  <si>
    <t>启蒙教育</t>
  </si>
  <si>
    <t>中国儿童文学/名著</t>
  </si>
  <si>
    <t>中文绘本</t>
  </si>
  <si>
    <t>科普/百科</t>
  </si>
  <si>
    <t>考试/教材/教辅</t>
  </si>
  <si>
    <t>手工玩具书</t>
  </si>
  <si>
    <t>外国儿童文学/名著</t>
  </si>
  <si>
    <t>涂画书</t>
  </si>
  <si>
    <t>工具书</t>
  </si>
  <si>
    <t>孕产育儿</t>
  </si>
  <si>
    <t>期刊杂志</t>
  </si>
  <si>
    <t>ar涂涂乐</t>
  </si>
  <si>
    <t>积木/拼插</t>
  </si>
  <si>
    <t>拼插积木</t>
  </si>
  <si>
    <t>雪花片</t>
  </si>
  <si>
    <t>塑料/胶质拼插积木</t>
  </si>
  <si>
    <t>拼搭积木</t>
  </si>
  <si>
    <t>多米诺骨牌</t>
  </si>
  <si>
    <t>磁力片</t>
  </si>
  <si>
    <t>绕珠</t>
  </si>
  <si>
    <t>婴幼儿玩具</t>
  </si>
  <si>
    <t>爬行垫/游戏毯</t>
  </si>
  <si>
    <t>牙胶/摇铃</t>
  </si>
  <si>
    <t>学步/健身架</t>
  </si>
  <si>
    <t>其他新生儿玩具</t>
  </si>
  <si>
    <t>布书/手偶</t>
  </si>
  <si>
    <t>床铃/车床挂/摇椅/安抚</t>
  </si>
  <si>
    <t>叠叠乐/不倒翁</t>
  </si>
  <si>
    <t>纪念品/个性产品</t>
  </si>
  <si>
    <t>幼儿学爬玩具</t>
  </si>
  <si>
    <t>手推学步玩具</t>
  </si>
  <si>
    <t>婴幼儿串珠</t>
  </si>
  <si>
    <t>拨浪鼓</t>
  </si>
  <si>
    <t>拖拉学步玩具</t>
  </si>
  <si>
    <t>宝宝海报/胎教海报</t>
  </si>
  <si>
    <t>布质/软胶积木</t>
  </si>
  <si>
    <t>户外运动/休闲/传统玩具</t>
  </si>
  <si>
    <t>游泳池/戏水玩具</t>
  </si>
  <si>
    <t>其他户外休闲玩具</t>
  </si>
  <si>
    <t>球类</t>
  </si>
  <si>
    <t>儿童帐篷/游戏屋</t>
  </si>
  <si>
    <t>海洋球/波波球</t>
  </si>
  <si>
    <t>吹泡泡</t>
  </si>
  <si>
    <t>摇马</t>
  </si>
  <si>
    <t>陀螺</t>
  </si>
  <si>
    <t>传统怀旧类玩具</t>
  </si>
  <si>
    <t>运动配件</t>
  </si>
  <si>
    <t>游戏围栏</t>
  </si>
  <si>
    <t>秋千滑梯</t>
  </si>
  <si>
    <t>自行车运动类</t>
  </si>
  <si>
    <t>跳跳玩具/跳跃类运动</t>
  </si>
  <si>
    <t>跳绳</t>
  </si>
  <si>
    <t>游乐设备/大型设施</t>
  </si>
  <si>
    <t>呼啦圈</t>
  </si>
  <si>
    <t>飞盘/飞碟/竹蜻蜓类</t>
  </si>
  <si>
    <t>飞镖/射击/射箭类</t>
  </si>
  <si>
    <t>拳击袋/拳击手套</t>
  </si>
  <si>
    <t>风车</t>
  </si>
  <si>
    <t>沙锤/沙蛋/沙球</t>
  </si>
  <si>
    <t>沙包</t>
  </si>
  <si>
    <t>投掷套圈</t>
  </si>
  <si>
    <t>音乐绘画玩具</t>
  </si>
  <si>
    <t>涂画类玩具</t>
  </si>
  <si>
    <t>打击乐器</t>
  </si>
  <si>
    <t>架子鼓</t>
  </si>
  <si>
    <t>玩具吉他</t>
  </si>
  <si>
    <t>电动手拍鼓</t>
  </si>
  <si>
    <t>音乐类玩具</t>
  </si>
  <si>
    <t>电子琴玩具</t>
  </si>
  <si>
    <t>乐器套装</t>
  </si>
  <si>
    <t>音乐话筒</t>
  </si>
  <si>
    <t>音乐电话</t>
  </si>
  <si>
    <t>吹奏玩具</t>
  </si>
  <si>
    <t>其他音乐玩具</t>
  </si>
  <si>
    <t>玩具小提琴</t>
  </si>
  <si>
    <t>玩具钢琴</t>
  </si>
  <si>
    <t>铃类乐器</t>
  </si>
  <si>
    <t>沙锤/沙球</t>
  </si>
  <si>
    <t>八音盒</t>
  </si>
  <si>
    <t>其他玩具文体</t>
  </si>
  <si>
    <t>其他玩具</t>
  </si>
  <si>
    <t>其他文体</t>
  </si>
  <si>
    <t>图书</t>
  </si>
  <si>
    <t>儿童书包/背包/文具</t>
  </si>
  <si>
    <t>文具礼盒/绘画套装</t>
  </si>
  <si>
    <t>描红本/涂色本</t>
  </si>
  <si>
    <t>书包</t>
  </si>
  <si>
    <t>专业画具/书法用品</t>
  </si>
  <si>
    <t>笔类</t>
  </si>
  <si>
    <t>斜挎包/腰包</t>
  </si>
  <si>
    <t>数学学习板/计算架</t>
  </si>
  <si>
    <t>卡通造型橡皮</t>
  </si>
  <si>
    <t>笔袋</t>
  </si>
  <si>
    <t>削笔器/削笔刀</t>
  </si>
  <si>
    <t>文具盒</t>
  </si>
  <si>
    <t>其他文具</t>
  </si>
  <si>
    <t>笔记本/记事本</t>
  </si>
  <si>
    <t>坐姿矫正器</t>
  </si>
  <si>
    <t>零钱包</t>
  </si>
  <si>
    <t>收纳学习用品</t>
  </si>
  <si>
    <t>护眼用品</t>
  </si>
  <si>
    <t>拉杆箱</t>
  </si>
  <si>
    <t>文件袋</t>
  </si>
  <si>
    <t>行李箱/储物箱</t>
  </si>
  <si>
    <t>笔筒</t>
  </si>
  <si>
    <t>电动/遥控/惯性/发条玩具</t>
  </si>
  <si>
    <t>发条玩具</t>
  </si>
  <si>
    <t>惯性/回力/滑行玩具</t>
  </si>
  <si>
    <t>遥控车</t>
  </si>
  <si>
    <t>遥控周边/设备</t>
  </si>
  <si>
    <t>遥控轨道</t>
  </si>
  <si>
    <t>四驱车零配件/工具</t>
  </si>
  <si>
    <t>遥控飞机</t>
  </si>
  <si>
    <t>直升机</t>
  </si>
  <si>
    <t>创意/整蛊玩具</t>
  </si>
  <si>
    <t>遥控车升级件/零配件</t>
  </si>
  <si>
    <t>遥控坦克</t>
  </si>
  <si>
    <t>遥控船类</t>
  </si>
  <si>
    <t>彩泥仿真DIY</t>
  </si>
  <si>
    <t>仿真动物玩偶</t>
  </si>
  <si>
    <t>粘土/超轻粘土</t>
  </si>
  <si>
    <t>过家家玩具</t>
  </si>
  <si>
    <t>彩泥/橡皮泥</t>
  </si>
  <si>
    <t>其他仿真玩具</t>
  </si>
  <si>
    <t>仿真果蔬/食物</t>
  </si>
  <si>
    <t>切切看</t>
  </si>
  <si>
    <t>仿真照相机</t>
  </si>
  <si>
    <t>软陶泥</t>
  </si>
  <si>
    <t>布艺/毛绒/塑料娃娃</t>
  </si>
  <si>
    <t>塑料/芭比娃娃</t>
  </si>
  <si>
    <t>布艺/毛绒娃娃</t>
  </si>
  <si>
    <t>童车/轮滑</t>
  </si>
  <si>
    <t>自行车</t>
  </si>
  <si>
    <t>扭扭车</t>
  </si>
  <si>
    <t>滑板车</t>
  </si>
  <si>
    <t>三轮车</t>
  </si>
  <si>
    <t>溜冰鞋/旱冰鞋</t>
  </si>
  <si>
    <t>滑板/活力板</t>
  </si>
  <si>
    <t>滑行学步车</t>
  </si>
  <si>
    <t>儿童电动车</t>
  </si>
  <si>
    <t>童车配件</t>
  </si>
  <si>
    <t>护具</t>
  </si>
  <si>
    <t>头盔</t>
  </si>
  <si>
    <t>电子/发光/充气/整蛊玩具</t>
  </si>
  <si>
    <t>塑料充气玩具</t>
  </si>
  <si>
    <t>发光玩具</t>
  </si>
  <si>
    <t>电子玩具</t>
  </si>
  <si>
    <t>机器人/模型/玩具枪</t>
  </si>
  <si>
    <t>机器人</t>
  </si>
  <si>
    <t>变形金刚</t>
  </si>
  <si>
    <t>玩具枪</t>
  </si>
  <si>
    <t>奥特曼玩具专区</t>
  </si>
  <si>
    <t>车/船模型</t>
  </si>
  <si>
    <t>电动玩具枪</t>
  </si>
  <si>
    <t>意念控制玩具</t>
  </si>
  <si>
    <t>水弹枪</t>
  </si>
  <si>
    <t>软弹枪</t>
  </si>
  <si>
    <t>其他玩具枪</t>
  </si>
  <si>
    <t>编程玩具</t>
  </si>
  <si>
    <t>app互动玩具</t>
  </si>
  <si>
    <t>专业乐器</t>
  </si>
  <si>
    <t>口琴</t>
  </si>
  <si>
    <t>笛子</t>
  </si>
  <si>
    <t>电子琴</t>
  </si>
  <si>
    <t>钢琴</t>
  </si>
  <si>
    <t>吉他</t>
  </si>
  <si>
    <t>小提琴/中提琴/大提琴</t>
  </si>
  <si>
    <t>儿童棋类/桌面游戏</t>
  </si>
  <si>
    <t>儿童桌面游戏类</t>
  </si>
  <si>
    <t>魔方/迷宫/解锁类</t>
  </si>
  <si>
    <t>多功能棋</t>
  </si>
  <si>
    <t>飞行棋</t>
  </si>
  <si>
    <t>跳棋</t>
  </si>
  <si>
    <t>强手棋/大富翁棋</t>
  </si>
  <si>
    <t>游戏叠叠乐</t>
  </si>
  <si>
    <t>电子词典/电纸书/文化用品</t>
  </si>
  <si>
    <t>点读机/点读笔</t>
  </si>
  <si>
    <t>学习机/电子辞典</t>
  </si>
  <si>
    <t>电子阅读器/电纸书</t>
  </si>
  <si>
    <t>复读机</t>
  </si>
  <si>
    <t>电脑桌/灯具/书架</t>
  </si>
  <si>
    <t>书架</t>
  </si>
  <si>
    <t>台灯/灯具</t>
  </si>
  <si>
    <t>音乐/艺术/学习</t>
  </si>
  <si>
    <t>学习/试验/绘画文具</t>
  </si>
  <si>
    <t>婴童服装</t>
  </si>
  <si>
    <t>童装</t>
  </si>
  <si>
    <t>其他套装</t>
  </si>
  <si>
    <t>儿童连衣裙</t>
  </si>
  <si>
    <t>儿童袜子</t>
  </si>
  <si>
    <t>T恤</t>
  </si>
  <si>
    <t>休闲裤</t>
  </si>
  <si>
    <t>打底/小脚/靴裤</t>
  </si>
  <si>
    <t>外套/开衫</t>
  </si>
  <si>
    <t>背带裙/背带裤</t>
  </si>
  <si>
    <t>哈伦裤/灯笼裤</t>
  </si>
  <si>
    <t>吊带/背心</t>
  </si>
  <si>
    <t>马甲</t>
  </si>
  <si>
    <t>牛仔裤</t>
  </si>
  <si>
    <t>棉袄/棉服</t>
  </si>
  <si>
    <t>衬衫</t>
  </si>
  <si>
    <t>运动套装</t>
  </si>
  <si>
    <t>旗袍/舞蹈服/演出服/礼服</t>
  </si>
  <si>
    <t>儿童泳衣/裤/帽</t>
  </si>
  <si>
    <t>羽绒服/羽绒内胆</t>
  </si>
  <si>
    <t>运动裤</t>
  </si>
  <si>
    <t>毛衣/针织衫</t>
  </si>
  <si>
    <t>呢大衣/风衣</t>
  </si>
  <si>
    <t>半身裙</t>
  </si>
  <si>
    <t>卫衣/绒衫</t>
  </si>
  <si>
    <t>披风/斗篷</t>
  </si>
  <si>
    <t>夹克/皮衣</t>
  </si>
  <si>
    <t>其他上衣(待删除)</t>
  </si>
  <si>
    <t>其他下装</t>
  </si>
  <si>
    <t>西服/小西装</t>
  </si>
  <si>
    <t>其他配饰</t>
  </si>
  <si>
    <t>连衣裙</t>
  </si>
  <si>
    <t>内衣</t>
  </si>
  <si>
    <t>婴儿装</t>
  </si>
  <si>
    <t>哈衣/爬服/连身服</t>
  </si>
  <si>
    <t>婴儿套装</t>
  </si>
  <si>
    <t>肚兜</t>
  </si>
  <si>
    <t>婴儿内衣</t>
  </si>
  <si>
    <t>开裆裤/大PP裤</t>
  </si>
  <si>
    <t>防抓手套/婴儿袜</t>
  </si>
  <si>
    <t>婴儿礼盒</t>
  </si>
  <si>
    <t>反穿衣/罩衣/袖套/围嘴</t>
  </si>
  <si>
    <t>护脐带</t>
  </si>
  <si>
    <t>T恤/上衣</t>
  </si>
  <si>
    <t>婴儿连衣裙</t>
  </si>
  <si>
    <t>裤子</t>
  </si>
  <si>
    <t>背心/马甲</t>
  </si>
  <si>
    <t>婴儿T恤</t>
  </si>
  <si>
    <t>其他外出服</t>
  </si>
  <si>
    <t>外套</t>
  </si>
  <si>
    <t>棉衣/羽绒衣</t>
  </si>
  <si>
    <t>其他贴身</t>
  </si>
  <si>
    <t>大PP裤</t>
  </si>
  <si>
    <t>家居服/内衣</t>
  </si>
  <si>
    <t>儿童内裤</t>
  </si>
  <si>
    <t>睡衣套装</t>
  </si>
  <si>
    <t>睡裙</t>
  </si>
  <si>
    <t>儿童秋衣/秋裤</t>
  </si>
  <si>
    <t>睡衣</t>
  </si>
  <si>
    <t>其他内衣</t>
  </si>
  <si>
    <t>保暖上衣/保暖裤/保暖套装</t>
  </si>
  <si>
    <t>保暖上衣</t>
  </si>
  <si>
    <t>保暖裤</t>
  </si>
  <si>
    <t>浴袍</t>
  </si>
  <si>
    <t>睡裤</t>
  </si>
  <si>
    <t>儿童配饰</t>
  </si>
  <si>
    <t>发饰</t>
  </si>
  <si>
    <t>帽子/围巾/手套</t>
  </si>
  <si>
    <t>太阳镜</t>
  </si>
  <si>
    <t>手链</t>
  </si>
  <si>
    <t>儿童包</t>
  </si>
  <si>
    <t>项链</t>
  </si>
  <si>
    <t>儿童表</t>
  </si>
  <si>
    <t>领带/领结</t>
  </si>
  <si>
    <t>腰带/皮带</t>
  </si>
  <si>
    <t>亲子装</t>
  </si>
  <si>
    <t>全家装</t>
  </si>
  <si>
    <t>妈妈宝宝装</t>
  </si>
  <si>
    <t>爸爸宝宝装</t>
  </si>
  <si>
    <t>儿童户外服</t>
  </si>
  <si>
    <t>儿童防晒衣</t>
  </si>
  <si>
    <t>儿童运动套装</t>
  </si>
  <si>
    <t>儿童冲锋衣</t>
  </si>
  <si>
    <t>儿童速干衬衫</t>
  </si>
  <si>
    <t>儿童速干T恤</t>
  </si>
  <si>
    <t>儿童滑雪服</t>
  </si>
  <si>
    <t>儿童速干裤</t>
  </si>
  <si>
    <t>婴童用品</t>
  </si>
  <si>
    <t>湿巾/抽纸</t>
  </si>
  <si>
    <t>宝宝抽纸</t>
  </si>
  <si>
    <t>宝宝洗浴护肤</t>
  </si>
  <si>
    <t>浴巾/毛巾</t>
  </si>
  <si>
    <t>洗发沐浴</t>
  </si>
  <si>
    <t>洗发帽</t>
  </si>
  <si>
    <t>润肤乳</t>
  </si>
  <si>
    <t>浴盆</t>
  </si>
  <si>
    <t>爽身粉</t>
  </si>
  <si>
    <t>护臀膏</t>
  </si>
  <si>
    <t>洗浴护肤礼盒</t>
  </si>
  <si>
    <t>水温计</t>
  </si>
  <si>
    <t>浴网/浴兜</t>
  </si>
  <si>
    <t>沐浴棉/擦</t>
  </si>
  <si>
    <t>洗沐二合一</t>
  </si>
  <si>
    <t>防晒乳/露</t>
  </si>
  <si>
    <t>洗手液</t>
  </si>
  <si>
    <t>按摩油</t>
  </si>
  <si>
    <t>儿童皂</t>
  </si>
  <si>
    <t>沐浴露</t>
  </si>
  <si>
    <t>洗发杯/水勺</t>
  </si>
  <si>
    <t>洗发水</t>
  </si>
  <si>
    <t>护唇/润唇</t>
  </si>
  <si>
    <t>鼻眼清洗液</t>
  </si>
  <si>
    <t>护发素</t>
  </si>
  <si>
    <t>餐具/水杯/附件</t>
  </si>
  <si>
    <t>围嘴/口水巾/吸汗巾/饭兜</t>
  </si>
  <si>
    <t>儿童餐具</t>
  </si>
  <si>
    <t>学饮杯</t>
  </si>
  <si>
    <t>儿童杯</t>
  </si>
  <si>
    <t>食物研磨器</t>
  </si>
  <si>
    <t>喂药器</t>
  </si>
  <si>
    <t>保鲜盒/便当盒</t>
  </si>
  <si>
    <t>驱蚊退烧用品</t>
  </si>
  <si>
    <t>驱蚊防虫</t>
  </si>
  <si>
    <t>退热贴</t>
  </si>
  <si>
    <t>金水</t>
  </si>
  <si>
    <t>奶瓶/奶瓶相关</t>
  </si>
  <si>
    <t>奶瓶</t>
  </si>
  <si>
    <t>奶嘴</t>
  </si>
  <si>
    <t>奶瓶盒</t>
  </si>
  <si>
    <t>奶瓶刷</t>
  </si>
  <si>
    <t>奶粉存储盒/奶粉盒</t>
  </si>
  <si>
    <t>奶瓶把/手柄</t>
  </si>
  <si>
    <t>奶瓶夹</t>
  </si>
  <si>
    <t>奶嘴盒</t>
  </si>
  <si>
    <t>奶瓶干燥架</t>
  </si>
  <si>
    <t>奶瓶温度计</t>
  </si>
  <si>
    <t>保温箱</t>
  </si>
  <si>
    <t>奶嘴打孔器</t>
  </si>
  <si>
    <t>清洁液/衣物护理</t>
  </si>
  <si>
    <t>奶瓶果蔬清洗液</t>
  </si>
  <si>
    <t>柔顺剂</t>
  </si>
  <si>
    <t>睡袋/凉席/枕头/床品</t>
  </si>
  <si>
    <t>凉席</t>
  </si>
  <si>
    <t>睡袋/防踢被</t>
  </si>
  <si>
    <t>枕头/枕芯</t>
  </si>
  <si>
    <t>蚊帐</t>
  </si>
  <si>
    <t>抱被/抱毯</t>
  </si>
  <si>
    <t>枕头/枕芯/枕套/枕巾</t>
  </si>
  <si>
    <t>被子/被套</t>
  </si>
  <si>
    <t>床围/床靠</t>
  </si>
  <si>
    <t>床品套件</t>
  </si>
  <si>
    <t>床单</t>
  </si>
  <si>
    <t>靠垫/坐垫</t>
  </si>
  <si>
    <t>床垫</t>
  </si>
  <si>
    <t>尿布袋</t>
  </si>
  <si>
    <t>日常护理</t>
  </si>
  <si>
    <t>耳勺</t>
  </si>
  <si>
    <t>理发器</t>
  </si>
  <si>
    <t>坐便器</t>
  </si>
  <si>
    <t>其他日用</t>
  </si>
  <si>
    <t>棉棒/棉签</t>
  </si>
  <si>
    <t>剪刀/指甲剪</t>
  </si>
  <si>
    <t>护脐贴</t>
  </si>
  <si>
    <t>体温计/枪</t>
  </si>
  <si>
    <t>梳子</t>
  </si>
  <si>
    <t>吸鼻器</t>
  </si>
  <si>
    <t>理发围布</t>
  </si>
  <si>
    <t>清洁镊子</t>
  </si>
  <si>
    <t>防护口罩</t>
  </si>
  <si>
    <t>湿度计/室温计</t>
  </si>
  <si>
    <t>身高尺</t>
  </si>
  <si>
    <t>马桶盖</t>
  </si>
  <si>
    <t>婴儿电子秤</t>
  </si>
  <si>
    <t>尿布桶</t>
  </si>
  <si>
    <t>湿巾加热器</t>
  </si>
  <si>
    <t>婴儿电吹风</t>
  </si>
  <si>
    <t>布尿裤/尿垫</t>
  </si>
  <si>
    <t>隔尿垫</t>
  </si>
  <si>
    <t>纱布尿布</t>
  </si>
  <si>
    <t>布尿裤</t>
  </si>
  <si>
    <t>尿布带</t>
  </si>
  <si>
    <t>隔尿床垫</t>
  </si>
  <si>
    <t>牙胶/牙刷/牙膏</t>
  </si>
  <si>
    <t>乳牙刷</t>
  </si>
  <si>
    <t>固齿器</t>
  </si>
  <si>
    <t>咬咬袋</t>
  </si>
  <si>
    <t>牙刷牙膏套装</t>
  </si>
  <si>
    <t>牙膏</t>
  </si>
  <si>
    <t>其它</t>
  </si>
  <si>
    <t>电动牙刷</t>
  </si>
  <si>
    <t>护牙素</t>
  </si>
  <si>
    <t>推车/学步车</t>
  </si>
  <si>
    <t>推车</t>
  </si>
  <si>
    <t>学步车</t>
  </si>
  <si>
    <t>推车配件</t>
  </si>
  <si>
    <t>三轮推车</t>
  </si>
  <si>
    <t>双胞胎推车</t>
  </si>
  <si>
    <t>安全防护</t>
  </si>
  <si>
    <t>防撞</t>
  </si>
  <si>
    <t>床护栏</t>
  </si>
  <si>
    <t>安全锁</t>
  </si>
  <si>
    <t>防触电</t>
  </si>
  <si>
    <t>保护盖</t>
  </si>
  <si>
    <t>尿湿/防丢提醒</t>
  </si>
  <si>
    <t>安全别针</t>
  </si>
  <si>
    <t>门护栏</t>
  </si>
  <si>
    <t>安全门卡</t>
  </si>
  <si>
    <t>背带/座椅/出行</t>
  </si>
  <si>
    <t>腰带/腰凳</t>
  </si>
  <si>
    <t>学步带</t>
  </si>
  <si>
    <t>背带/背袋</t>
  </si>
  <si>
    <t>雨伞</t>
  </si>
  <si>
    <t>安全座椅</t>
  </si>
  <si>
    <t>防雨罩</t>
  </si>
  <si>
    <t>雨衣</t>
  </si>
  <si>
    <t>育儿背巾</t>
  </si>
  <si>
    <t>童床/摇篮/餐椅</t>
  </si>
  <si>
    <t>餐椅</t>
  </si>
  <si>
    <t>婴儿床/儿童床</t>
  </si>
  <si>
    <t>摇椅</t>
  </si>
  <si>
    <t>摇篮</t>
  </si>
  <si>
    <t>消毒/暖奶器/小家电</t>
  </si>
  <si>
    <t>调奶器</t>
  </si>
  <si>
    <t>消毒器</t>
  </si>
  <si>
    <t>其他电器</t>
  </si>
  <si>
    <t>暖奶器</t>
  </si>
  <si>
    <t>锅具/煲</t>
  </si>
  <si>
    <t>搅拌器</t>
  </si>
  <si>
    <t>儿童房/桌椅/家具</t>
  </si>
  <si>
    <t>婴童衣架</t>
  </si>
  <si>
    <t>儿童椅</t>
  </si>
  <si>
    <t>储物架/收纳架</t>
  </si>
  <si>
    <t>成套桌椅</t>
  </si>
  <si>
    <t>儿童沙发</t>
  </si>
  <si>
    <t>儿童桌</t>
  </si>
  <si>
    <t>儿童房</t>
  </si>
  <si>
    <t>其他婴童用品</t>
  </si>
  <si>
    <t>婴童收纳</t>
  </si>
  <si>
    <t>儿童衣架</t>
  </si>
  <si>
    <t>收纳盒/袋/包</t>
  </si>
  <si>
    <t>收纳柜/衣柜</t>
  </si>
  <si>
    <t>奶嘴/奶嘴相关</t>
  </si>
  <si>
    <t>水杯/餐具/附件</t>
  </si>
  <si>
    <t>墙贴/身高贴</t>
  </si>
  <si>
    <t>女装</t>
  </si>
  <si>
    <t>套装/学生校服/工作制服</t>
  </si>
  <si>
    <t>休闲运动套装</t>
  </si>
  <si>
    <t>Women's Clothing</t>
  </si>
  <si>
    <t>职业女裙套装</t>
  </si>
  <si>
    <t>其他工作服套装</t>
  </si>
  <si>
    <t>其他制服</t>
  </si>
  <si>
    <t>学生校服</t>
  </si>
  <si>
    <t>休闲裤/运动裤</t>
  </si>
  <si>
    <t>短裤</t>
  </si>
  <si>
    <t>打底裤</t>
  </si>
  <si>
    <t>安全裤</t>
  </si>
  <si>
    <t>铅笔裤</t>
  </si>
  <si>
    <t>西装裤/正装裤</t>
  </si>
  <si>
    <t>棉裤/羽绒裤</t>
  </si>
  <si>
    <t>蕾丝衫/雪纺衫</t>
  </si>
  <si>
    <t>短外套</t>
  </si>
  <si>
    <t>中老年女装</t>
  </si>
  <si>
    <t>背心/吊带</t>
  </si>
  <si>
    <t>针织衫</t>
  </si>
  <si>
    <t>大码女装</t>
  </si>
  <si>
    <t>风衣</t>
  </si>
  <si>
    <t>泳衣</t>
  </si>
  <si>
    <t>毛呢外套</t>
  </si>
  <si>
    <t>抹胸</t>
  </si>
  <si>
    <t>毛衣</t>
  </si>
  <si>
    <t>棉衣/棉服</t>
  </si>
  <si>
    <t>皮草</t>
  </si>
  <si>
    <t>马夹</t>
  </si>
  <si>
    <t>羽绒服</t>
  </si>
  <si>
    <t>婚纱/旗袍/礼服</t>
  </si>
  <si>
    <t>旗袍</t>
  </si>
  <si>
    <t>礼服/晚装</t>
  </si>
  <si>
    <t>情侣装</t>
  </si>
  <si>
    <t>西装</t>
  </si>
  <si>
    <t>唐装/民族服装/舞台服装</t>
  </si>
  <si>
    <t>民族服装/舞台服装</t>
  </si>
  <si>
    <t>唐装/中式服装</t>
  </si>
  <si>
    <t>皮衣</t>
  </si>
  <si>
    <t>裙装</t>
  </si>
  <si>
    <t>美妆个护</t>
  </si>
  <si>
    <t>面部护理</t>
  </si>
  <si>
    <t>面膜</t>
  </si>
  <si>
    <t>Beauty</t>
  </si>
  <si>
    <t>护理套装</t>
  </si>
  <si>
    <t>防晒</t>
  </si>
  <si>
    <t>洁面</t>
  </si>
  <si>
    <t>乳液/面霜</t>
  </si>
  <si>
    <t>化妆/爽肤水</t>
  </si>
  <si>
    <t>其他面部护肤</t>
  </si>
  <si>
    <t>面部精华</t>
  </si>
  <si>
    <t>T区护理</t>
  </si>
  <si>
    <t>眼霜</t>
  </si>
  <si>
    <t>卸妆</t>
  </si>
  <si>
    <t>眼膜</t>
  </si>
  <si>
    <t>去角质</t>
  </si>
  <si>
    <t>喷雾</t>
  </si>
  <si>
    <t>眼部精华</t>
  </si>
  <si>
    <t>其它眼部护理</t>
  </si>
  <si>
    <t>润唇膏</t>
  </si>
  <si>
    <t>唇膜</t>
  </si>
  <si>
    <t>面部按摩霜</t>
  </si>
  <si>
    <t>眼胶</t>
  </si>
  <si>
    <t>过敏修护</t>
  </si>
  <si>
    <t>其它唇部护理</t>
  </si>
  <si>
    <t>唇部磨砂</t>
  </si>
  <si>
    <t>彩妆香水</t>
  </si>
  <si>
    <t>唇膏/口红</t>
  </si>
  <si>
    <t>眉笔/眉粉/眉膏</t>
  </si>
  <si>
    <t>指甲油</t>
  </si>
  <si>
    <t>BB霜/CC霜</t>
  </si>
  <si>
    <t>女士香水</t>
  </si>
  <si>
    <t>眼线</t>
  </si>
  <si>
    <t>眼影</t>
  </si>
  <si>
    <t>睫毛膏/睫毛增长液</t>
  </si>
  <si>
    <t>隔离/妆前</t>
  </si>
  <si>
    <t>彩妆套装</t>
  </si>
  <si>
    <t>唇彩/唇蜜</t>
  </si>
  <si>
    <t>粉饼</t>
  </si>
  <si>
    <t>蜜粉/散粉</t>
  </si>
  <si>
    <t>腮红/胭脂</t>
  </si>
  <si>
    <t>遮瑕</t>
  </si>
  <si>
    <t>修颜/高光</t>
  </si>
  <si>
    <t>香水套装</t>
  </si>
  <si>
    <t>粉底</t>
  </si>
  <si>
    <t>中性香水</t>
  </si>
  <si>
    <t>唇笔/唇线笔</t>
  </si>
  <si>
    <t>其他香水</t>
  </si>
  <si>
    <t>彩妆盘</t>
  </si>
  <si>
    <t>男士香水</t>
  </si>
  <si>
    <t>洗甲水</t>
  </si>
  <si>
    <t>其他美甲产品</t>
  </si>
  <si>
    <t>营养底油</t>
  </si>
  <si>
    <t>亮甲油</t>
  </si>
  <si>
    <t>身体清洁</t>
  </si>
  <si>
    <t>香皂</t>
  </si>
  <si>
    <t>私处洗液</t>
  </si>
  <si>
    <t>香薰精油皂</t>
  </si>
  <si>
    <t>搓泥浴宝</t>
  </si>
  <si>
    <t>浴盐</t>
  </si>
  <si>
    <t>泡澡药包</t>
  </si>
  <si>
    <t>浴液</t>
  </si>
  <si>
    <t>身体护理</t>
  </si>
  <si>
    <t>其它身体护理</t>
  </si>
  <si>
    <t>护足霜</t>
  </si>
  <si>
    <t>其他足部保养</t>
  </si>
  <si>
    <t>足膜</t>
  </si>
  <si>
    <t>脱毛</t>
  </si>
  <si>
    <t>身体乳/霜</t>
  </si>
  <si>
    <t>止汗</t>
  </si>
  <si>
    <t>胸部乳霜</t>
  </si>
  <si>
    <t>祛纹</t>
  </si>
  <si>
    <t>护手霜</t>
  </si>
  <si>
    <t>手膜</t>
  </si>
  <si>
    <t>身体按摩</t>
  </si>
  <si>
    <t>颈部护理</t>
  </si>
  <si>
    <t>身体护理套装</t>
  </si>
  <si>
    <t>胸部精华/精油</t>
  </si>
  <si>
    <t>身体去角质</t>
  </si>
  <si>
    <t>美胸贴</t>
  </si>
  <si>
    <t>指甲修护乳/霜</t>
  </si>
  <si>
    <t>其他手部保养</t>
  </si>
  <si>
    <t>足部磨砂</t>
  </si>
  <si>
    <t>胸部护理套装</t>
  </si>
  <si>
    <t>其它胸部护理</t>
  </si>
  <si>
    <t>手部磨砂</t>
  </si>
  <si>
    <t>美容工具</t>
  </si>
  <si>
    <t>其他美容工具</t>
  </si>
  <si>
    <t>化妆包</t>
  </si>
  <si>
    <t>美甲工具</t>
  </si>
  <si>
    <t>修眉刀</t>
  </si>
  <si>
    <t>化妆棉</t>
  </si>
  <si>
    <t>粉扑</t>
  </si>
  <si>
    <t>双眼皮贴/胶水/胶条</t>
  </si>
  <si>
    <t>化妆刷</t>
  </si>
  <si>
    <t>假睫毛</t>
  </si>
  <si>
    <t>睫毛夹</t>
  </si>
  <si>
    <t>口腔护理</t>
  </si>
  <si>
    <t>牙刷/口腔清洁工具</t>
  </si>
  <si>
    <t>牙齿美白脱色剂</t>
  </si>
  <si>
    <t>漱口水</t>
  </si>
  <si>
    <t>牙粉</t>
  </si>
  <si>
    <t>牙线/牙线棒</t>
  </si>
  <si>
    <t>口腔清新剂</t>
  </si>
  <si>
    <t>卫生巾/避孕套/家庭保健</t>
  </si>
  <si>
    <t>卫生巾</t>
  </si>
  <si>
    <t>成人用品/避孕/计生用品</t>
  </si>
  <si>
    <t>成人纸尿护理用品</t>
  </si>
  <si>
    <t>护垫</t>
  </si>
  <si>
    <t>卫生棉条</t>
  </si>
  <si>
    <t>头发清洁/护理/造型</t>
  </si>
  <si>
    <t>洗护套装</t>
  </si>
  <si>
    <t>发膜/护发产品</t>
  </si>
  <si>
    <t>摩丝/啫喱/头发造型</t>
  </si>
  <si>
    <t>孕妈美妆</t>
  </si>
  <si>
    <t>精油芳疗</t>
  </si>
  <si>
    <t>纯露/花水</t>
  </si>
  <si>
    <t>精油</t>
  </si>
  <si>
    <t>手工/精油皂</t>
  </si>
  <si>
    <t>其它精油芳疗</t>
  </si>
  <si>
    <t>男士护肤</t>
  </si>
  <si>
    <t>男士洁面</t>
  </si>
  <si>
    <t>男士护理套装</t>
  </si>
  <si>
    <t>男士面部乳霜</t>
  </si>
  <si>
    <t>男士面膜</t>
  </si>
  <si>
    <t>男士爽肤水</t>
  </si>
  <si>
    <t>男士防晒霜</t>
  </si>
  <si>
    <t>其他男士护理</t>
  </si>
  <si>
    <t>男士喷雾</t>
  </si>
  <si>
    <t>男士眼膜</t>
  </si>
  <si>
    <t>其他护肤</t>
  </si>
  <si>
    <t>食品生鲜</t>
  </si>
  <si>
    <t>生鲜果蔬</t>
  </si>
  <si>
    <t>新鲜水果</t>
  </si>
  <si>
    <t>Food</t>
  </si>
  <si>
    <t>冰淇淋/冷冻食品</t>
  </si>
  <si>
    <t>新鲜蔬菜</t>
  </si>
  <si>
    <t>海鲜/水产品/肉禽</t>
  </si>
  <si>
    <t>蛋/蛋制品</t>
  </si>
  <si>
    <t>腌制食品</t>
  </si>
  <si>
    <t>山核桃/坚果/炒货</t>
  </si>
  <si>
    <t>巴旦木</t>
  </si>
  <si>
    <t>瓜子</t>
  </si>
  <si>
    <t>坚果组合</t>
  </si>
  <si>
    <t>虾条</t>
  </si>
  <si>
    <t>夏威夷果</t>
  </si>
  <si>
    <t>花生</t>
  </si>
  <si>
    <t>豆类制品</t>
  </si>
  <si>
    <t>海苔</t>
  </si>
  <si>
    <t>核桃</t>
  </si>
  <si>
    <t>薯片</t>
  </si>
  <si>
    <t>米棒</t>
  </si>
  <si>
    <t>干脆面</t>
  </si>
  <si>
    <t>碧根果</t>
  </si>
  <si>
    <t>栗子</t>
  </si>
  <si>
    <t>核桃仁</t>
  </si>
  <si>
    <t>腰果</t>
  </si>
  <si>
    <t>松子</t>
  </si>
  <si>
    <t>开心果</t>
  </si>
  <si>
    <t>薯条</t>
  </si>
  <si>
    <t>爆米花</t>
  </si>
  <si>
    <t>杏仁</t>
  </si>
  <si>
    <t>山核桃</t>
  </si>
  <si>
    <t>甜甜圈</t>
  </si>
  <si>
    <t>小银杏</t>
  </si>
  <si>
    <t>榛子</t>
  </si>
  <si>
    <t>香榧</t>
  </si>
  <si>
    <t>饼干糕点</t>
  </si>
  <si>
    <t>饼干</t>
  </si>
  <si>
    <t>西式糕点</t>
  </si>
  <si>
    <t>传统糕点</t>
  </si>
  <si>
    <t>面包</t>
  </si>
  <si>
    <t>威化饼</t>
  </si>
  <si>
    <t>曲奇</t>
  </si>
  <si>
    <t>马卡龙</t>
  </si>
  <si>
    <t>夹心饼干</t>
  </si>
  <si>
    <t>肉饼</t>
  </si>
  <si>
    <t>蛋卷</t>
  </si>
  <si>
    <t>酥性饼干</t>
  </si>
  <si>
    <t>花饼</t>
  </si>
  <si>
    <t>沙琪玛</t>
  </si>
  <si>
    <t>苏打饼干</t>
  </si>
  <si>
    <t>营养（消化）饼干</t>
  </si>
  <si>
    <t>薄脆饼干</t>
  </si>
  <si>
    <t>蛋卷饼干</t>
  </si>
  <si>
    <t>麦片</t>
  </si>
  <si>
    <t>月饼</t>
  </si>
  <si>
    <t>蛋圆饼干</t>
  </si>
  <si>
    <t>压缩饼干</t>
  </si>
  <si>
    <t>肉干/卤味零食</t>
  </si>
  <si>
    <t>鸭肉零食</t>
  </si>
  <si>
    <t>鱼干</t>
  </si>
  <si>
    <t>豆干</t>
  </si>
  <si>
    <t>其它肉制零食</t>
  </si>
  <si>
    <t>牛肉干</t>
  </si>
  <si>
    <t>猪肉脯</t>
  </si>
  <si>
    <t>凤爪</t>
  </si>
  <si>
    <t>鱿鱼丝</t>
  </si>
  <si>
    <t>鸡肉零食</t>
  </si>
  <si>
    <t>兔肉干/兔丁</t>
  </si>
  <si>
    <t>驴肉零食</t>
  </si>
  <si>
    <t>蜜饯/枣类/果干</t>
  </si>
  <si>
    <t>红枣</t>
  </si>
  <si>
    <t>葡萄干</t>
  </si>
  <si>
    <t>梅干</t>
  </si>
  <si>
    <t>山楂干</t>
  </si>
  <si>
    <t>薯干</t>
  </si>
  <si>
    <t>芒果干</t>
  </si>
  <si>
    <t>蔓越莓干</t>
  </si>
  <si>
    <t>蔬果干</t>
  </si>
  <si>
    <t>蓝莓干</t>
  </si>
  <si>
    <t>无花果干</t>
  </si>
  <si>
    <t>椰子片</t>
  </si>
  <si>
    <t>猕猴桃干</t>
  </si>
  <si>
    <t>榴莲干</t>
  </si>
  <si>
    <t>菠萝蜜</t>
  </si>
  <si>
    <t>香蕉干/片</t>
  </si>
  <si>
    <t>圣女果干</t>
  </si>
  <si>
    <t>笋类制品</t>
  </si>
  <si>
    <t>草莓干</t>
  </si>
  <si>
    <t>鸭翅</t>
  </si>
  <si>
    <t>车厘子干</t>
  </si>
  <si>
    <t>桑椹干</t>
  </si>
  <si>
    <t>酸角</t>
  </si>
  <si>
    <t>柿饼</t>
  </si>
  <si>
    <t>加应子/李子</t>
  </si>
  <si>
    <t>鸭舌</t>
  </si>
  <si>
    <t>菠萝/凤梨干</t>
  </si>
  <si>
    <t>杏仁/杏干</t>
  </si>
  <si>
    <t>鸭脖</t>
  </si>
  <si>
    <t>桃干</t>
  </si>
  <si>
    <t>南瓜干</t>
  </si>
  <si>
    <t>咖啡/麦片/冲饮</t>
  </si>
  <si>
    <t>冲饮</t>
  </si>
  <si>
    <t>茶饮料</t>
  </si>
  <si>
    <t>咖啡</t>
  </si>
  <si>
    <t>姜汤</t>
  </si>
  <si>
    <t>蜂蜜果味茶</t>
  </si>
  <si>
    <t>芝麻糊</t>
  </si>
  <si>
    <t>果汁</t>
  </si>
  <si>
    <t>藕粉</t>
  </si>
  <si>
    <t>果茶</t>
  </si>
  <si>
    <t>奶茶</t>
  </si>
  <si>
    <t>茶叶</t>
  </si>
  <si>
    <t>功能饮料</t>
  </si>
  <si>
    <t>豆奶</t>
  </si>
  <si>
    <t>酸梅粉</t>
  </si>
  <si>
    <t>冲饮果汁</t>
  </si>
  <si>
    <t>速食速冻</t>
  </si>
  <si>
    <t>方便面</t>
  </si>
  <si>
    <t>面食</t>
  </si>
  <si>
    <t>肉制品</t>
  </si>
  <si>
    <t>火腿肠</t>
  </si>
  <si>
    <t>粽子</t>
  </si>
  <si>
    <t>水果罐头</t>
  </si>
  <si>
    <t>面条/挂面（待煮面条）</t>
  </si>
  <si>
    <t>意大利面</t>
  </si>
  <si>
    <t>速食粥</t>
  </si>
  <si>
    <t>烘焙/熟食/半成品</t>
  </si>
  <si>
    <t>冷面</t>
  </si>
  <si>
    <t>方便米饭</t>
  </si>
  <si>
    <t>水饺/馄饨</t>
  </si>
  <si>
    <t>粮油干货</t>
  </si>
  <si>
    <t>干货/土特产</t>
  </si>
  <si>
    <t>杂粮</t>
  </si>
  <si>
    <t>调味品</t>
  </si>
  <si>
    <t>其他米类</t>
  </si>
  <si>
    <t>鱼干/海味</t>
  </si>
  <si>
    <t>烘培原料</t>
  </si>
  <si>
    <t>面粉</t>
  </si>
  <si>
    <t>其他粮食干货</t>
  </si>
  <si>
    <t>核桃油</t>
  </si>
  <si>
    <t>菜籽油</t>
  </si>
  <si>
    <t>其他食用油</t>
  </si>
  <si>
    <t>小米</t>
  </si>
  <si>
    <t>橄榄油</t>
  </si>
  <si>
    <t>麻油</t>
  </si>
  <si>
    <t>薏米</t>
  </si>
  <si>
    <t>薏米仁</t>
  </si>
  <si>
    <t>调和油</t>
  </si>
  <si>
    <t>黑米</t>
  </si>
  <si>
    <t>花椒油</t>
  </si>
  <si>
    <t>糙米</t>
  </si>
  <si>
    <t>葵花籽油</t>
  </si>
  <si>
    <t>香油</t>
  </si>
  <si>
    <t>山茶油</t>
  </si>
  <si>
    <t>糯米</t>
  </si>
  <si>
    <t>花生油</t>
  </si>
  <si>
    <t>糖果/巧克力/奶干</t>
  </si>
  <si>
    <t>奶片</t>
  </si>
  <si>
    <t>果糖</t>
  </si>
  <si>
    <t>奶酪</t>
  </si>
  <si>
    <t>巧克力</t>
  </si>
  <si>
    <t>棒棒糖</t>
  </si>
  <si>
    <t>奶糖</t>
  </si>
  <si>
    <t>果冻/布丁</t>
  </si>
  <si>
    <t>口香糖</t>
  </si>
  <si>
    <t>奶干</t>
  </si>
  <si>
    <t>茶</t>
  </si>
  <si>
    <t>花草/水果/再加工茶</t>
  </si>
  <si>
    <t>绿茶</t>
  </si>
  <si>
    <t>乌龙茶</t>
  </si>
  <si>
    <t>普洱</t>
  </si>
  <si>
    <t>红茶</t>
  </si>
  <si>
    <t>调味酱料/烘焙材料</t>
  </si>
  <si>
    <t>酱类调料</t>
  </si>
  <si>
    <t>酱油</t>
  </si>
  <si>
    <t>食糖</t>
  </si>
  <si>
    <t>食品添加剂</t>
  </si>
  <si>
    <t>辣椒酱</t>
  </si>
  <si>
    <t>番茄酱</t>
  </si>
  <si>
    <t>火锅调料</t>
  </si>
  <si>
    <t>辣椒类调料</t>
  </si>
  <si>
    <t>醋制品</t>
  </si>
  <si>
    <t>豆瓣酱</t>
  </si>
  <si>
    <t>烧烤调料</t>
  </si>
  <si>
    <t>果酱</t>
  </si>
  <si>
    <t>料酒</t>
  </si>
  <si>
    <t>乳制品</t>
  </si>
  <si>
    <t>乳制饮品</t>
  </si>
  <si>
    <t>含乳饮料</t>
  </si>
  <si>
    <t>牛奶</t>
  </si>
  <si>
    <t>酸奶</t>
  </si>
  <si>
    <t>鱿鱼丝/鱼干/海味即食</t>
  </si>
  <si>
    <t>即食鱼零食</t>
  </si>
  <si>
    <t>海带零食</t>
  </si>
  <si>
    <t>海苔系列</t>
  </si>
  <si>
    <t>即鱿食鱼零食</t>
  </si>
  <si>
    <t>贝系列</t>
  </si>
  <si>
    <t>其他系列</t>
  </si>
  <si>
    <t>蟹系列</t>
  </si>
  <si>
    <t>即食虾零食</t>
  </si>
  <si>
    <t>酒类</t>
  </si>
  <si>
    <t>葡萄酒/果酒</t>
  </si>
  <si>
    <t>白酒</t>
  </si>
  <si>
    <t>洋酒</t>
  </si>
  <si>
    <t>啤酒</t>
  </si>
  <si>
    <t>预调酒</t>
  </si>
  <si>
    <t>生活家电</t>
  </si>
  <si>
    <t>生活电器</t>
  </si>
  <si>
    <t>其他生活电器</t>
  </si>
  <si>
    <t>Home</t>
  </si>
  <si>
    <t>电风扇</t>
  </si>
  <si>
    <t>空调扇</t>
  </si>
  <si>
    <t>挂烫机</t>
  </si>
  <si>
    <t>加湿器</t>
  </si>
  <si>
    <t>干衣机</t>
  </si>
  <si>
    <t>电熨斗</t>
  </si>
  <si>
    <t>吸尘器</t>
  </si>
  <si>
    <t>除螨仪</t>
  </si>
  <si>
    <t>暖风机/取暖器</t>
  </si>
  <si>
    <t>扫地机器人</t>
  </si>
  <si>
    <t>空气净化/氧吧</t>
  </si>
  <si>
    <t>干鞋器</t>
  </si>
  <si>
    <t>抽湿器/除湿器</t>
  </si>
  <si>
    <t>厨房电器</t>
  </si>
  <si>
    <t>电饭煲</t>
  </si>
  <si>
    <t>其他厨房电器</t>
  </si>
  <si>
    <t>电热水壶</t>
  </si>
  <si>
    <t>豆浆机</t>
  </si>
  <si>
    <t>搅拌/料理机</t>
  </si>
  <si>
    <t>煮蛋器</t>
  </si>
  <si>
    <t>电炖锅/电炖盅</t>
  </si>
  <si>
    <t>酸奶机</t>
  </si>
  <si>
    <t>榨汁机</t>
  </si>
  <si>
    <t>净水器</t>
  </si>
  <si>
    <t>电动打蛋机</t>
  </si>
  <si>
    <t>电烤箱</t>
  </si>
  <si>
    <t>电热火锅/小电锅</t>
  </si>
  <si>
    <t>保健/养生/煎药壶</t>
  </si>
  <si>
    <t>电饼铛</t>
  </si>
  <si>
    <t>电磁炉/电陶炉</t>
  </si>
  <si>
    <t>电压力锅</t>
  </si>
  <si>
    <t>电热饭盒</t>
  </si>
  <si>
    <t>饮水机</t>
  </si>
  <si>
    <t>原汁机</t>
  </si>
  <si>
    <t>电蒸锅</t>
  </si>
  <si>
    <t>面包机</t>
  </si>
  <si>
    <t>多士炉</t>
  </si>
  <si>
    <t>冰淇淋机</t>
  </si>
  <si>
    <t>咖啡机</t>
  </si>
  <si>
    <t>微波炉</t>
  </si>
  <si>
    <t>电炸锅</t>
  </si>
  <si>
    <t>个护电器</t>
  </si>
  <si>
    <t>剃须刀</t>
  </si>
  <si>
    <t>体温计</t>
  </si>
  <si>
    <t>电吹风</t>
  </si>
  <si>
    <t>其他个护电器</t>
  </si>
  <si>
    <t>按摩器材</t>
  </si>
  <si>
    <t>剃脱毛器</t>
  </si>
  <si>
    <t>卷/直发器</t>
  </si>
  <si>
    <t>健康秤</t>
  </si>
  <si>
    <t>美容器材</t>
  </si>
  <si>
    <t>血压计</t>
  </si>
  <si>
    <t>瘦身器材</t>
  </si>
  <si>
    <t>雾化器</t>
  </si>
  <si>
    <t>其他健康电器</t>
  </si>
  <si>
    <t>足浴盆</t>
  </si>
  <si>
    <t>心电监测/胎心仪</t>
  </si>
  <si>
    <t>血糖仪</t>
  </si>
  <si>
    <t>厨房类电器</t>
  </si>
  <si>
    <t>个护类电器</t>
  </si>
  <si>
    <t>生活类电器</t>
  </si>
  <si>
    <t>手机</t>
  </si>
  <si>
    <t>手机配件</t>
  </si>
  <si>
    <t>手机支架/手机座</t>
  </si>
  <si>
    <t>手机保护套</t>
  </si>
  <si>
    <t>手机拍照配件</t>
  </si>
  <si>
    <t>手机数据线</t>
  </si>
  <si>
    <t>手机贴膜</t>
  </si>
  <si>
    <t>影音电器</t>
  </si>
  <si>
    <t>内衣/家居服</t>
  </si>
  <si>
    <t>内裤</t>
  </si>
  <si>
    <t>Sleepwear</t>
  </si>
  <si>
    <t>短袜/打底袜/丝袜/美腿袜</t>
  </si>
  <si>
    <t>睡衣/家居服</t>
  </si>
  <si>
    <t>居家服</t>
  </si>
  <si>
    <t>睡袍/浴袍</t>
  </si>
  <si>
    <t>文胸</t>
  </si>
  <si>
    <t>吊带/背心/T恤</t>
  </si>
  <si>
    <t>内衣配件</t>
  </si>
  <si>
    <t>抹胸/肚兜</t>
  </si>
  <si>
    <t>塑身美体裤</t>
  </si>
  <si>
    <t>文胸套装</t>
  </si>
  <si>
    <t>塑身套装/连体衣</t>
  </si>
  <si>
    <t>塑身上衣</t>
  </si>
  <si>
    <t>保暖内衣</t>
  </si>
  <si>
    <t>保暖套装</t>
  </si>
  <si>
    <t>乳贴</t>
  </si>
  <si>
    <t>塑身腰封/腰夹</t>
  </si>
  <si>
    <t>吊袜带</t>
  </si>
  <si>
    <t>童鞋</t>
  </si>
  <si>
    <t>凉鞋</t>
  </si>
  <si>
    <t>拖鞋</t>
  </si>
  <si>
    <t>运动鞋</t>
  </si>
  <si>
    <t>网面鞋</t>
  </si>
  <si>
    <t>休闲鞋</t>
  </si>
  <si>
    <t>跑步鞋</t>
  </si>
  <si>
    <t>板鞋</t>
  </si>
  <si>
    <t>全能鞋</t>
  </si>
  <si>
    <t>足球鞋</t>
  </si>
  <si>
    <t>登山鞋/户外鞋</t>
  </si>
  <si>
    <t>篮球鞋</t>
  </si>
  <si>
    <t>网球鞋</t>
  </si>
  <si>
    <t>训练鞋</t>
  </si>
  <si>
    <t>学步鞋</t>
  </si>
  <si>
    <t>帆布鞋</t>
  </si>
  <si>
    <t>皮鞋</t>
  </si>
  <si>
    <t>其他皮鞋</t>
  </si>
  <si>
    <t>豆豆鞋/乐福鞋/帆船鞋</t>
  </si>
  <si>
    <t>机能鞋</t>
  </si>
  <si>
    <t>洞洞鞋/沙滩鞋</t>
  </si>
  <si>
    <t>雨鞋</t>
  </si>
  <si>
    <t>舞蹈鞋</t>
  </si>
  <si>
    <t>靴子</t>
  </si>
  <si>
    <t>雪地靴/棉靴</t>
  </si>
  <si>
    <t>皮靴</t>
  </si>
  <si>
    <t>雨靴</t>
  </si>
  <si>
    <t>棉鞋</t>
  </si>
  <si>
    <t>亲子鞋</t>
  </si>
  <si>
    <t>鞋带/鞋垫及其它</t>
  </si>
  <si>
    <t>其他鞋类</t>
  </si>
  <si>
    <t>传统布鞋/手工编织鞋</t>
  </si>
  <si>
    <t>女鞋</t>
  </si>
  <si>
    <t>单鞋</t>
  </si>
  <si>
    <t>低帮鞋</t>
  </si>
  <si>
    <t>高跟鞋</t>
  </si>
  <si>
    <t>坡跟鞋</t>
  </si>
  <si>
    <t>雪地靴</t>
  </si>
  <si>
    <t>高帮鞋</t>
  </si>
  <si>
    <t>纸尿裤</t>
  </si>
  <si>
    <t>拉拉裤</t>
  </si>
  <si>
    <t>纸尿片</t>
  </si>
  <si>
    <t>家纺家饰</t>
  </si>
  <si>
    <t>被子/蚕丝被/羽绒被/棉被</t>
  </si>
  <si>
    <t>Home Textile</t>
  </si>
  <si>
    <t>毛巾浴巾</t>
  </si>
  <si>
    <t>毛巾/面巾/手帕</t>
  </si>
  <si>
    <t>浴巾</t>
  </si>
  <si>
    <t>浴巾毛巾方巾套装/三件套</t>
  </si>
  <si>
    <t>浴裙/浴袍/浴衣</t>
  </si>
  <si>
    <t>凉席/竹席/藤席/草席/牛皮凉席</t>
  </si>
  <si>
    <t>床单被罩</t>
  </si>
  <si>
    <t>床裙</t>
  </si>
  <si>
    <t>床笠</t>
  </si>
  <si>
    <t>被套</t>
  </si>
  <si>
    <t>床罩</t>
  </si>
  <si>
    <t>睡袋</t>
  </si>
  <si>
    <t>装饰摆件</t>
  </si>
  <si>
    <t>贴饰/墙贴/开关贴等</t>
  </si>
  <si>
    <t>花架/书架/组合衣架等</t>
  </si>
  <si>
    <t>创意相框等</t>
  </si>
  <si>
    <t>家居钟饰/闹钟等</t>
  </si>
  <si>
    <t>壁饰</t>
  </si>
  <si>
    <t>装饰架/装饰牌/装饰挂钩等</t>
  </si>
  <si>
    <t>家居饰品</t>
  </si>
  <si>
    <t>创意饰品</t>
  </si>
  <si>
    <t>花瓶花器/仿真花</t>
  </si>
  <si>
    <t>照片墙</t>
  </si>
  <si>
    <t>相框/画框</t>
  </si>
  <si>
    <t>装饰器皿</t>
  </si>
  <si>
    <t>居家布艺</t>
  </si>
  <si>
    <t>空调防尘罩</t>
  </si>
  <si>
    <t>十字绣及工具配件</t>
  </si>
  <si>
    <t>餐桌布艺</t>
  </si>
  <si>
    <t>遥控器防尘罩</t>
  </si>
  <si>
    <t>电视/电脑防尘罩</t>
  </si>
  <si>
    <t>沙发罩</t>
  </si>
  <si>
    <t>微波炉防尘罩</t>
  </si>
  <si>
    <t>电扇/风扇防尘罩</t>
  </si>
  <si>
    <t>大衣/西服罩</t>
  </si>
  <si>
    <t>餐垫</t>
  </si>
  <si>
    <t>创意礼品/diy手工制品</t>
  </si>
  <si>
    <t>开关防尘罩</t>
  </si>
  <si>
    <t>电话防尘罩</t>
  </si>
  <si>
    <t>窗帘/窗纱/纱门</t>
  </si>
  <si>
    <t>纱门纱窗</t>
  </si>
  <si>
    <t>门帘</t>
  </si>
  <si>
    <t>成品窗帘</t>
  </si>
  <si>
    <t>浴帘</t>
  </si>
  <si>
    <t>浴帘杆</t>
  </si>
  <si>
    <t>珠帘</t>
  </si>
  <si>
    <t>枕头/枕套</t>
  </si>
  <si>
    <t>枕头/枕芯/保健枕/颈椎枕</t>
  </si>
  <si>
    <t>枕套</t>
  </si>
  <si>
    <t>枕巾</t>
  </si>
  <si>
    <t>抱枕靠垫</t>
  </si>
  <si>
    <t>坐垫/椅垫/沙发垫</t>
  </si>
  <si>
    <t>靠枕/抱枕</t>
  </si>
  <si>
    <t>靠垫</t>
  </si>
  <si>
    <t>休闲毯/毛毯/绒毯</t>
  </si>
  <si>
    <t>墙纸</t>
  </si>
  <si>
    <t>地垫地毯</t>
  </si>
  <si>
    <t>地垫</t>
  </si>
  <si>
    <t>浴室地垫</t>
  </si>
  <si>
    <t>地毯</t>
  </si>
  <si>
    <t>装饰画</t>
  </si>
  <si>
    <t>钻石画</t>
  </si>
  <si>
    <t>床垫/床褥</t>
  </si>
  <si>
    <t>床垫/床褥/床护垫/榻榻米</t>
  </si>
  <si>
    <t>床护垫</t>
  </si>
  <si>
    <t>电热毯</t>
  </si>
  <si>
    <t>孕妈服饰</t>
  </si>
  <si>
    <t>Maternity Clothing</t>
  </si>
  <si>
    <t>托腹裤</t>
  </si>
  <si>
    <t>孕妇睡衣/家居服</t>
  </si>
  <si>
    <t>塑体衣</t>
  </si>
  <si>
    <t>其他孕妈服装</t>
  </si>
  <si>
    <t>哺乳衣</t>
  </si>
  <si>
    <t>孕妇帽/产妇帽</t>
  </si>
  <si>
    <t>孕妇鞋袜</t>
  </si>
  <si>
    <t>防辐射服</t>
  </si>
  <si>
    <t>孕妇内衣套装</t>
  </si>
  <si>
    <t>背带裤</t>
  </si>
  <si>
    <t>雪纺衫</t>
  </si>
  <si>
    <t>珠宝配饰</t>
  </si>
  <si>
    <t>流行首饰/时尚饰品</t>
  </si>
  <si>
    <t>耳饰/发饰</t>
  </si>
  <si>
    <t>Jewelry</t>
  </si>
  <si>
    <t>手链/手镯/戒指/脚链</t>
  </si>
  <si>
    <t>其他首饰</t>
  </si>
  <si>
    <t>假发</t>
  </si>
  <si>
    <t>佛珠/串珠</t>
  </si>
  <si>
    <t>首饰收纳</t>
  </si>
  <si>
    <t>服饰配件</t>
  </si>
  <si>
    <t>手套</t>
  </si>
  <si>
    <t>帽子</t>
  </si>
  <si>
    <t>围巾/丝巾/披肩</t>
  </si>
  <si>
    <t>女士腰带</t>
  </si>
  <si>
    <t>男士腰带</t>
  </si>
  <si>
    <t>眼镜</t>
  </si>
  <si>
    <t>太阳眼镜</t>
  </si>
  <si>
    <t>功能眼镜</t>
  </si>
  <si>
    <t>眼镜配件/护理剂</t>
  </si>
  <si>
    <t>手表</t>
  </si>
  <si>
    <t>腕表</t>
  </si>
  <si>
    <t>配件</t>
  </si>
  <si>
    <t>黄金珠宝</t>
  </si>
  <si>
    <t>银饰品</t>
  </si>
  <si>
    <t>孕妈用品</t>
  </si>
  <si>
    <t>防溢乳垫</t>
  </si>
  <si>
    <t>Maternity Necessities</t>
  </si>
  <si>
    <t>其他孕妈用品</t>
  </si>
  <si>
    <t>束腹带</t>
  </si>
  <si>
    <t>护理垫</t>
  </si>
  <si>
    <t>母乳储存保鲜</t>
  </si>
  <si>
    <t>吸奶器</t>
  </si>
  <si>
    <t>待产包</t>
  </si>
  <si>
    <t>妈咪包</t>
  </si>
  <si>
    <t>产检裤</t>
  </si>
  <si>
    <t>护腰枕</t>
  </si>
  <si>
    <t>骨盆矫正带</t>
  </si>
  <si>
    <t>托腹带</t>
  </si>
  <si>
    <t>贝贝福利</t>
  </si>
  <si>
    <t>会员福利</t>
  </si>
  <si>
    <t>会员卡</t>
  </si>
  <si>
    <t>Special Offers</t>
  </si>
  <si>
    <t>手机充值</t>
  </si>
  <si>
    <t>话费充值</t>
  </si>
  <si>
    <t>流量充值</t>
  </si>
  <si>
    <t>育儿宝</t>
  </si>
  <si>
    <t>活动费</t>
  </si>
  <si>
    <t>视频付费</t>
  </si>
  <si>
    <t>付费问答</t>
  </si>
  <si>
    <t>优惠券</t>
  </si>
  <si>
    <t>快递袋</t>
  </si>
  <si>
    <t>胶带</t>
  </si>
  <si>
    <t>售后体验卡</t>
  </si>
  <si>
    <t>不干胶</t>
  </si>
  <si>
    <t>辅食/零食</t>
  </si>
  <si>
    <t>辅食</t>
  </si>
  <si>
    <t>米粉/米糊/汤粥</t>
  </si>
  <si>
    <t>Groceries</t>
  </si>
  <si>
    <t>磨牙棒/饼干</t>
  </si>
  <si>
    <t>面条</t>
  </si>
  <si>
    <t>果/菜/肉/混合泥</t>
  </si>
  <si>
    <t>肉松/鱼松</t>
  </si>
  <si>
    <t>果汁/饮品</t>
  </si>
  <si>
    <t>菜粉/水果粉</t>
  </si>
  <si>
    <t>婴幼儿零食</t>
  </si>
  <si>
    <t>泡芙</t>
  </si>
  <si>
    <t>溶豆</t>
  </si>
  <si>
    <t>肉肠</t>
  </si>
  <si>
    <t>其他婴幼儿零食</t>
  </si>
  <si>
    <t>糖果</t>
  </si>
  <si>
    <t>果肉条</t>
  </si>
  <si>
    <t>奶粉</t>
  </si>
  <si>
    <t>奶粉 婴幼儿</t>
  </si>
  <si>
    <t>Baby's Formula</t>
  </si>
  <si>
    <t>成人奶粉</t>
  </si>
  <si>
    <t>箱包</t>
  </si>
  <si>
    <t>女士包袋</t>
  </si>
  <si>
    <t>单肩包</t>
  </si>
  <si>
    <t>双肩包</t>
  </si>
  <si>
    <t>钱包/手拿包</t>
  </si>
  <si>
    <t>手提包</t>
  </si>
  <si>
    <t>斜挎包</t>
  </si>
  <si>
    <t>零钱包/化妆包</t>
  </si>
  <si>
    <t>单肩包/斜挎包</t>
  </si>
  <si>
    <t>旅行包/拉杆箱</t>
  </si>
  <si>
    <t>旅行袋</t>
  </si>
  <si>
    <t>男士包袋</t>
  </si>
  <si>
    <t>腰包/胸包</t>
  </si>
  <si>
    <t>手提包/公文包</t>
  </si>
  <si>
    <t>运动包/登山包</t>
  </si>
  <si>
    <t>手机包/钥匙包/证件包/卡包/卡套</t>
  </si>
  <si>
    <t>帆布包</t>
  </si>
  <si>
    <t>箱包配件</t>
  </si>
  <si>
    <t>电脑包</t>
  </si>
  <si>
    <t>营养品/保健食品</t>
  </si>
  <si>
    <t>婴幼儿营养品</t>
  </si>
  <si>
    <t>钙铁锌</t>
  </si>
  <si>
    <t>Health</t>
  </si>
  <si>
    <t>鱼肝油</t>
  </si>
  <si>
    <t>维生素</t>
  </si>
  <si>
    <t>益生菌</t>
  </si>
  <si>
    <t>DHA/核桃油</t>
  </si>
  <si>
    <t>清火/开胃/奶伴</t>
  </si>
  <si>
    <t>葡萄糖</t>
  </si>
  <si>
    <t>牛初乳</t>
  </si>
  <si>
    <t>蛋白粉</t>
  </si>
  <si>
    <t>保健食品</t>
  </si>
  <si>
    <t>蔓越莓</t>
  </si>
  <si>
    <t>鱼油/磷脂</t>
  </si>
  <si>
    <t>左旋肉碱</t>
  </si>
  <si>
    <t>胶原蛋白</t>
  </si>
  <si>
    <t>酵素</t>
  </si>
  <si>
    <t>葡萄籽</t>
  </si>
  <si>
    <t>奶昔/代餐粉</t>
  </si>
  <si>
    <t>奶蓟草</t>
  </si>
  <si>
    <t>大豆异黄酮</t>
  </si>
  <si>
    <t>蛋白质/氨基酸</t>
  </si>
  <si>
    <t>青汁</t>
  </si>
  <si>
    <t>蓝霉素/叶黄素</t>
  </si>
  <si>
    <t>膳食纤维</t>
  </si>
  <si>
    <t>月见草</t>
  </si>
  <si>
    <t>Q10辅酶</t>
  </si>
  <si>
    <t>玛卡</t>
  </si>
  <si>
    <t>番茄红素</t>
  </si>
  <si>
    <t>增肌粉</t>
  </si>
  <si>
    <t>螺旋藻</t>
  </si>
  <si>
    <t>圣洁莓</t>
  </si>
  <si>
    <t>大蒜提取物</t>
  </si>
  <si>
    <t>银杏提取物</t>
  </si>
  <si>
    <t>保健食品（待迁移）</t>
  </si>
  <si>
    <t>传统滋补营养品</t>
  </si>
  <si>
    <t>其他滋补营养品</t>
  </si>
  <si>
    <t>阿胶膏</t>
  </si>
  <si>
    <t>枸杞</t>
  </si>
  <si>
    <t>蜂蜜</t>
  </si>
  <si>
    <t>蜂产品</t>
  </si>
  <si>
    <t>养生茶饮</t>
  </si>
  <si>
    <t>参类</t>
  </si>
  <si>
    <t>燕窝</t>
  </si>
  <si>
    <t>灵芝</t>
  </si>
  <si>
    <t>雪蛤</t>
  </si>
  <si>
    <t>百合</t>
  </si>
  <si>
    <t>孕产妇营养品</t>
  </si>
  <si>
    <t>孕产妇DHA</t>
  </si>
  <si>
    <t>孕产妇营养补充</t>
  </si>
  <si>
    <t>孕产妇叶酸</t>
  </si>
  <si>
    <t>孕产妇钙铁锌</t>
  </si>
  <si>
    <t>孕产妇维生素</t>
  </si>
  <si>
    <t>孕产妇益生菌</t>
  </si>
  <si>
    <t>孕产妇牛初乳</t>
  </si>
  <si>
    <t>膳食营养补充</t>
  </si>
  <si>
    <t>成人户外鞋服</t>
  </si>
  <si>
    <t>户外服饰</t>
  </si>
  <si>
    <t>防晒衣</t>
  </si>
  <si>
    <t>Outdoors</t>
  </si>
  <si>
    <t>瑜伽服</t>
  </si>
  <si>
    <t>户外鞋</t>
  </si>
  <si>
    <t>未分类</t>
  </si>
  <si>
    <t>男装</t>
  </si>
  <si>
    <t>下装</t>
  </si>
  <si>
    <t>Men's Clothing</t>
  </si>
  <si>
    <t>上装</t>
  </si>
  <si>
    <t>男鞋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</si>
</sst>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I1576"/>
  <sheetViews>
    <sheetView tabSelected="1" workbookViewId="0">
      <selection activeCell="C2" sqref="C2"/>
    </sheetView>
  </sheetViews>
  <sheetFormatPr baseColWidth="10" defaultColWidth="14.5" defaultRowHeight="15.75" customHeight="1" x14ac:dyDescent="0.15"/>
  <cols>
    <col min="9" max="9" width="65.3320312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15">
      <c r="A2" s="2" t="s">
        <v>9</v>
      </c>
      <c r="B2" s="2" t="s">
        <v>10</v>
      </c>
      <c r="C2" s="2" t="s">
        <v>11</v>
      </c>
      <c r="D2" s="3">
        <v>2098759</v>
      </c>
      <c r="E2" s="3">
        <v>621309</v>
      </c>
      <c r="F2" s="3">
        <v>117461</v>
      </c>
      <c r="G2" s="3" t="s">
        <v>12</v>
      </c>
      <c r="H2" s="3" t="str">
        <f ca="1">IFERROR(__xludf.DUMMYFUNCTION("GOOGLETRANSLATE(B2,""auto"",""en"")"),"Daily")</f>
        <v>Daily</v>
      </c>
      <c r="I2" s="3" t="str">
        <f ca="1">IFERROR(__xludf.DUMMYFUNCTION("GOOGLETRANSLATE(C2,""auto"",""en"")"),"Home Shoes / slippers / boots")</f>
        <v>Home Shoes / slippers / boots</v>
      </c>
    </row>
    <row r="3" spans="1:9" ht="15.75" customHeight="1" x14ac:dyDescent="0.15">
      <c r="A3" s="2" t="s">
        <v>9</v>
      </c>
      <c r="B3" s="2" t="s">
        <v>10</v>
      </c>
      <c r="C3" s="2" t="s">
        <v>13</v>
      </c>
      <c r="D3" s="3">
        <v>2098759</v>
      </c>
      <c r="E3" s="3">
        <v>621309</v>
      </c>
      <c r="F3" s="3">
        <v>115806</v>
      </c>
      <c r="G3" s="3" t="s">
        <v>12</v>
      </c>
      <c r="H3" s="3" t="str">
        <f ca="1">IFERROR(__xludf.DUMMYFUNCTION("GOOGLETRANSLATE(B3,""auto"",""en"")"),"Daily")</f>
        <v>Daily</v>
      </c>
      <c r="I3" s="3" t="str">
        <f ca="1">IFERROR(__xludf.DUMMYFUNCTION("GOOGLETRANSLATE(C3,""auto"",""en"")"),"Other Home Daily")</f>
        <v>Other Home Daily</v>
      </c>
    </row>
    <row r="4" spans="1:9" ht="15.75" customHeight="1" x14ac:dyDescent="0.15">
      <c r="A4" s="2" t="s">
        <v>9</v>
      </c>
      <c r="B4" s="2" t="s">
        <v>10</v>
      </c>
      <c r="C4" s="2" t="s">
        <v>14</v>
      </c>
      <c r="D4" s="3">
        <v>2098759</v>
      </c>
      <c r="E4" s="3">
        <v>621309</v>
      </c>
      <c r="F4" s="3">
        <v>89781</v>
      </c>
      <c r="G4" s="3" t="s">
        <v>12</v>
      </c>
      <c r="H4" s="3" t="str">
        <f ca="1">IFERROR(__xludf.DUMMYFUNCTION("GOOGLETRANSLATE(B4,""auto"",""en"")"),"Daily")</f>
        <v>Daily</v>
      </c>
      <c r="I4" s="3" t="str">
        <f ca="1">IFERROR(__xludf.DUMMYFUNCTION("GOOGLETRANSLATE(C4,""auto"",""en"")"),"Mosquito paste / mosquito bracelet")</f>
        <v>Mosquito paste / mosquito bracelet</v>
      </c>
    </row>
    <row r="5" spans="1:9" ht="15.75" customHeight="1" x14ac:dyDescent="0.15">
      <c r="A5" s="2" t="s">
        <v>9</v>
      </c>
      <c r="B5" s="2" t="s">
        <v>10</v>
      </c>
      <c r="C5" s="2" t="s">
        <v>15</v>
      </c>
      <c r="D5" s="3">
        <v>2098759</v>
      </c>
      <c r="E5" s="3">
        <v>621309</v>
      </c>
      <c r="F5" s="3">
        <v>56775</v>
      </c>
      <c r="G5" s="3" t="s">
        <v>12</v>
      </c>
      <c r="H5" s="3" t="str">
        <f ca="1">IFERROR(__xludf.DUMMYFUNCTION("GOOGLETRANSLATE(B5,""auto"",""en"")"),"Daily")</f>
        <v>Daily</v>
      </c>
      <c r="I5" s="3" t="str">
        <f ca="1">IFERROR(__xludf.DUMMYFUNCTION("GOOGLETRANSLATE(C5,""auto"",""en"")"),"Home / Personal Cleaning Tools")</f>
        <v>Home / Personal Cleaning Tools</v>
      </c>
    </row>
    <row r="6" spans="1:9" ht="15.75" customHeight="1" x14ac:dyDescent="0.15">
      <c r="A6" s="2" t="s">
        <v>9</v>
      </c>
      <c r="B6" s="2" t="s">
        <v>10</v>
      </c>
      <c r="C6" s="2" t="s">
        <v>16</v>
      </c>
      <c r="D6" s="3">
        <v>2098759</v>
      </c>
      <c r="E6" s="3">
        <v>621309</v>
      </c>
      <c r="F6" s="3">
        <v>50372</v>
      </c>
      <c r="G6" s="3" t="s">
        <v>12</v>
      </c>
      <c r="H6" s="3" t="str">
        <f ca="1">IFERROR(__xludf.DUMMYFUNCTION("GOOGLETRANSLATE(B6,""auto"",""en"")"),"Daily")</f>
        <v>Daily</v>
      </c>
      <c r="I6" s="3" t="str">
        <f ca="1">IFERROR(__xludf.DUMMYFUNCTION("GOOGLETRANSLATE(C6,""auto"",""en"")"),"Umbrella / umbrella stand / umbrella accessories")</f>
        <v>Umbrella / umbrella stand / umbrella accessories</v>
      </c>
    </row>
    <row r="7" spans="1:9" ht="15.75" customHeight="1" x14ac:dyDescent="0.15">
      <c r="A7" s="2" t="s">
        <v>9</v>
      </c>
      <c r="B7" s="2" t="s">
        <v>10</v>
      </c>
      <c r="C7" s="2" t="s">
        <v>17</v>
      </c>
      <c r="D7" s="3">
        <v>2098759</v>
      </c>
      <c r="E7" s="3">
        <v>621309</v>
      </c>
      <c r="F7" s="3">
        <v>29161</v>
      </c>
      <c r="G7" s="3" t="s">
        <v>12</v>
      </c>
      <c r="H7" s="3" t="str">
        <f ca="1">IFERROR(__xludf.DUMMYFUNCTION("GOOGLETRANSLATE(B7,""auto"",""en"")"),"Daily")</f>
        <v>Daily</v>
      </c>
      <c r="I7" s="3" t="str">
        <f ca="1">IFERROR(__xludf.DUMMYFUNCTION("GOOGLETRANSLATE(C7,""auto"",""en"")"),"Toothpaste dispenser / toothbrush holder / Teeth bench")</f>
        <v>Toothpaste dispenser / toothbrush holder / Teeth bench</v>
      </c>
    </row>
    <row r="8" spans="1:9" ht="15.75" customHeight="1" x14ac:dyDescent="0.15">
      <c r="A8" s="2" t="s">
        <v>9</v>
      </c>
      <c r="B8" s="2" t="s">
        <v>10</v>
      </c>
      <c r="C8" s="2" t="s">
        <v>18</v>
      </c>
      <c r="D8" s="3">
        <v>2098759</v>
      </c>
      <c r="E8" s="3">
        <v>621309</v>
      </c>
      <c r="F8" s="3">
        <v>25855</v>
      </c>
      <c r="G8" s="3" t="s">
        <v>12</v>
      </c>
      <c r="H8" s="3" t="str">
        <f ca="1">IFERROR(__xludf.DUMMYFUNCTION("GOOGLETRANSLATE(B8,""auto"",""en"")"),"Daily")</f>
        <v>Daily</v>
      </c>
      <c r="I8" s="3" t="str">
        <f ca="1">IFERROR(__xludf.DUMMYFUNCTION("GOOGLETRANSLATE(C8,""auto"",""en"")"),"Rodent / pesticides / flypaper / M. buster")</f>
        <v>Rodent / pesticides / flypaper / M. buster</v>
      </c>
    </row>
    <row r="9" spans="1:9" ht="15.75" customHeight="1" x14ac:dyDescent="0.15">
      <c r="A9" s="2" t="s">
        <v>9</v>
      </c>
      <c r="B9" s="2" t="s">
        <v>10</v>
      </c>
      <c r="C9" s="2" t="s">
        <v>19</v>
      </c>
      <c r="D9" s="3">
        <v>2098759</v>
      </c>
      <c r="E9" s="3">
        <v>621309</v>
      </c>
      <c r="F9" s="3">
        <v>20254</v>
      </c>
      <c r="G9" s="3" t="s">
        <v>12</v>
      </c>
      <c r="H9" s="3" t="str">
        <f ca="1">IFERROR(__xludf.DUMMYFUNCTION("GOOGLETRANSLATE(B9,""auto"",""en"")"),"Daily")</f>
        <v>Daily</v>
      </c>
      <c r="I9" s="3" t="str">
        <f ca="1">IFERROR(__xludf.DUMMYFUNCTION("GOOGLETRANSLATE(C9,""auto"",""en"")"),"Mini fan heater / mini fan")</f>
        <v>Mini fan heater / mini fan</v>
      </c>
    </row>
    <row r="10" spans="1:9" ht="15.75" customHeight="1" x14ac:dyDescent="0.15">
      <c r="A10" s="2" t="s">
        <v>9</v>
      </c>
      <c r="B10" s="2" t="s">
        <v>10</v>
      </c>
      <c r="C10" s="2" t="s">
        <v>20</v>
      </c>
      <c r="D10" s="3">
        <v>2098759</v>
      </c>
      <c r="E10" s="3">
        <v>621309</v>
      </c>
      <c r="F10" s="3">
        <v>18808</v>
      </c>
      <c r="G10" s="3" t="s">
        <v>12</v>
      </c>
      <c r="H10" s="3" t="str">
        <f ca="1">IFERROR(__xludf.DUMMYFUNCTION("GOOGLETRANSLATE(B10,""auto"",""en"")"),"Daily")</f>
        <v>Daily</v>
      </c>
      <c r="I10" s="3" t="str">
        <f ca="1">IFERROR(__xludf.DUMMYFUNCTION("GOOGLETRANSLATE(C10,""auto"",""en"")"),"Mosquito Liquid")</f>
        <v>Mosquito Liquid</v>
      </c>
    </row>
    <row r="11" spans="1:9" ht="15.75" customHeight="1" x14ac:dyDescent="0.15">
      <c r="A11" s="2" t="s">
        <v>9</v>
      </c>
      <c r="B11" s="2" t="s">
        <v>10</v>
      </c>
      <c r="C11" s="2" t="s">
        <v>21</v>
      </c>
      <c r="D11" s="3">
        <v>2098759</v>
      </c>
      <c r="E11" s="3">
        <v>621309</v>
      </c>
      <c r="F11" s="3">
        <v>15834</v>
      </c>
      <c r="G11" s="3" t="s">
        <v>12</v>
      </c>
      <c r="H11" s="3" t="str">
        <f ca="1">IFERROR(__xludf.DUMMYFUNCTION("GOOGLETRANSLATE(B11,""auto"",""en"")"),"Daily")</f>
        <v>Daily</v>
      </c>
      <c r="I11" s="3" t="str">
        <f ca="1">IFERROR(__xludf.DUMMYFUNCTION("GOOGLETRANSLATE(C11,""auto"",""en"")"),"Storage consolidation")</f>
        <v>Storage consolidation</v>
      </c>
    </row>
    <row r="12" spans="1:9" ht="15.75" customHeight="1" x14ac:dyDescent="0.15">
      <c r="A12" s="2" t="s">
        <v>9</v>
      </c>
      <c r="B12" s="2" t="s">
        <v>10</v>
      </c>
      <c r="C12" s="2" t="s">
        <v>22</v>
      </c>
      <c r="D12" s="3">
        <v>2098759</v>
      </c>
      <c r="E12" s="3">
        <v>621309</v>
      </c>
      <c r="F12" s="3">
        <v>12961</v>
      </c>
      <c r="G12" s="3" t="s">
        <v>12</v>
      </c>
      <c r="H12" s="3" t="str">
        <f ca="1">IFERROR(__xludf.DUMMYFUNCTION("GOOGLETRANSLATE(B12,""auto"",""en"")"),"Daily")</f>
        <v>Daily</v>
      </c>
      <c r="I12" s="3" t="str">
        <f ca="1">IFERROR(__xludf.DUMMYFUNCTION("GOOGLETRANSLATE(C12,""auto"",""en"")"),"Sofa cushion / ice pad, etc.")</f>
        <v>Sofa cushion / ice pad, etc.</v>
      </c>
    </row>
    <row r="13" spans="1:9" ht="15.75" customHeight="1" x14ac:dyDescent="0.15">
      <c r="A13" s="2" t="s">
        <v>9</v>
      </c>
      <c r="B13" s="2" t="s">
        <v>10</v>
      </c>
      <c r="C13" s="2" t="s">
        <v>23</v>
      </c>
      <c r="D13" s="3">
        <v>2098759</v>
      </c>
      <c r="E13" s="3">
        <v>621309</v>
      </c>
      <c r="F13" s="3">
        <v>9430</v>
      </c>
      <c r="G13" s="3" t="s">
        <v>12</v>
      </c>
      <c r="H13" s="3" t="str">
        <f ca="1">IFERROR(__xludf.DUMMYFUNCTION("GOOGLETRANSLATE(B13,""auto"",""en"")"),"Daily")</f>
        <v>Daily</v>
      </c>
      <c r="I13" s="3" t="str">
        <f ca="1">IFERROR(__xludf.DUMMYFUNCTION("GOOGLETRANSLATE(C13,""auto"",""en"")"),"Human Scale / scales")</f>
        <v>Human Scale / scales</v>
      </c>
    </row>
    <row r="14" spans="1:9" ht="15.75" customHeight="1" x14ac:dyDescent="0.15">
      <c r="A14" s="2" t="s">
        <v>9</v>
      </c>
      <c r="B14" s="2" t="s">
        <v>10</v>
      </c>
      <c r="C14" s="2" t="s">
        <v>24</v>
      </c>
      <c r="D14" s="3">
        <v>2098759</v>
      </c>
      <c r="E14" s="3">
        <v>621309</v>
      </c>
      <c r="F14" s="3">
        <v>5057</v>
      </c>
      <c r="G14" s="3" t="s">
        <v>12</v>
      </c>
      <c r="H14" s="3" t="str">
        <f ca="1">IFERROR(__xludf.DUMMYFUNCTION("GOOGLETRANSLATE(B14,""auto"",""en"")"),"Daily")</f>
        <v>Daily</v>
      </c>
      <c r="I14" s="3" t="str">
        <f ca="1">IFERROR(__xludf.DUMMYFUNCTION("GOOGLETRANSLATE(C14,""auto"",""en"")"),"Beauty / weight loss gadgets")</f>
        <v>Beauty / weight loss gadgets</v>
      </c>
    </row>
    <row r="15" spans="1:9" ht="15.75" customHeight="1" x14ac:dyDescent="0.15">
      <c r="A15" s="2" t="s">
        <v>9</v>
      </c>
      <c r="B15" s="2" t="s">
        <v>10</v>
      </c>
      <c r="C15" s="2" t="s">
        <v>25</v>
      </c>
      <c r="D15" s="3">
        <v>2098759</v>
      </c>
      <c r="E15" s="3">
        <v>621309</v>
      </c>
      <c r="F15" s="3">
        <v>5006</v>
      </c>
      <c r="G15" s="3" t="s">
        <v>12</v>
      </c>
      <c r="H15" s="3" t="str">
        <f ca="1">IFERROR(__xludf.DUMMYFUNCTION("GOOGLETRANSLATE(B15,""auto"",""en"")"),"Daily")</f>
        <v>Daily</v>
      </c>
      <c r="I15" s="3" t="str">
        <f ca="1">IFERROR(__xludf.DUMMYFUNCTION("GOOGLETRANSLATE(C15,""auto"",""en"")"),"Mosquito light / suction mosquito lamp / IED")</f>
        <v>Mosquito light / suction mosquito lamp / IED</v>
      </c>
    </row>
    <row r="16" spans="1:9" ht="15.75" customHeight="1" x14ac:dyDescent="0.15">
      <c r="A16" s="2" t="s">
        <v>9</v>
      </c>
      <c r="B16" s="2" t="s">
        <v>10</v>
      </c>
      <c r="C16" s="2" t="s">
        <v>26</v>
      </c>
      <c r="D16" s="3">
        <v>2098759</v>
      </c>
      <c r="E16" s="3">
        <v>621309</v>
      </c>
      <c r="F16" s="3">
        <v>4724</v>
      </c>
      <c r="G16" s="3" t="s">
        <v>12</v>
      </c>
      <c r="H16" s="3" t="str">
        <f ca="1">IFERROR(__xludf.DUMMYFUNCTION("GOOGLETRANSLATE(B16,""auto"",""en"")"),"Daily")</f>
        <v>Daily</v>
      </c>
      <c r="I16" s="3" t="str">
        <f ca="1">IFERROR(__xludf.DUMMYFUNCTION("GOOGLETRANSLATE(C16,""auto"",""en"")"),"Swatter / fly swatter")</f>
        <v>Swatter / fly swatter</v>
      </c>
    </row>
    <row r="17" spans="1:9" ht="15.75" customHeight="1" x14ac:dyDescent="0.15">
      <c r="A17" s="2" t="s">
        <v>9</v>
      </c>
      <c r="B17" s="2" t="s">
        <v>10</v>
      </c>
      <c r="C17" s="2" t="s">
        <v>27</v>
      </c>
      <c r="D17" s="3">
        <v>2098759</v>
      </c>
      <c r="E17" s="3">
        <v>621309</v>
      </c>
      <c r="F17" s="3">
        <v>3735</v>
      </c>
      <c r="G17" s="3" t="s">
        <v>12</v>
      </c>
      <c r="H17" s="3" t="str">
        <f ca="1">IFERROR(__xludf.DUMMYFUNCTION("GOOGLETRANSLATE(B17,""auto"",""en"")"),"Daily")</f>
        <v>Daily</v>
      </c>
      <c r="I17" s="3" t="str">
        <f ca="1">IFERROR(__xludf.DUMMYFUNCTION("GOOGLETRANSLATE(C17,""auto"",""en"")"),"Kitchen / cooking utensils")</f>
        <v>Kitchen / cooking utensils</v>
      </c>
    </row>
    <row r="18" spans="1:9" ht="15.75" customHeight="1" x14ac:dyDescent="0.15">
      <c r="A18" s="2" t="s">
        <v>9</v>
      </c>
      <c r="B18" s="2" t="s">
        <v>10</v>
      </c>
      <c r="C18" s="2" t="s">
        <v>28</v>
      </c>
      <c r="D18" s="3">
        <v>2098759</v>
      </c>
      <c r="E18" s="3">
        <v>621309</v>
      </c>
      <c r="F18" s="3">
        <v>3074</v>
      </c>
      <c r="G18" s="3" t="s">
        <v>12</v>
      </c>
      <c r="H18" s="3" t="str">
        <f ca="1">IFERROR(__xludf.DUMMYFUNCTION("GOOGLETRANSLATE(B18,""auto"",""en"")"),"Daily")</f>
        <v>Daily</v>
      </c>
      <c r="I18" s="3" t="str">
        <f ca="1">IFERROR(__xludf.DUMMYFUNCTION("GOOGLETRANSLATE(C18,""auto"",""en"")"),"Sticky hook")</f>
        <v>Sticky hook</v>
      </c>
    </row>
    <row r="19" spans="1:9" ht="15.75" customHeight="1" x14ac:dyDescent="0.15">
      <c r="A19" s="2" t="s">
        <v>9</v>
      </c>
      <c r="B19" s="2" t="s">
        <v>10</v>
      </c>
      <c r="C19" s="2" t="s">
        <v>29</v>
      </c>
      <c r="D19" s="3">
        <v>2098759</v>
      </c>
      <c r="E19" s="3">
        <v>621309</v>
      </c>
      <c r="F19" s="3">
        <v>2733</v>
      </c>
      <c r="G19" s="3" t="s">
        <v>12</v>
      </c>
      <c r="H19" s="3" t="str">
        <f ca="1">IFERROR(__xludf.DUMMYFUNCTION("GOOGLETRANSLATE(B19,""auto"",""en"")"),"Daily")</f>
        <v>Daily</v>
      </c>
      <c r="I19" s="3" t="str">
        <f ca="1">IFERROR(__xludf.DUMMYFUNCTION("GOOGLETRANSLATE(C19,""auto"",""en"")"),"Poncho raincoat")</f>
        <v>Poncho raincoat</v>
      </c>
    </row>
    <row r="20" spans="1:9" ht="15.75" customHeight="1" x14ac:dyDescent="0.15">
      <c r="A20" s="2" t="s">
        <v>9</v>
      </c>
      <c r="B20" s="2" t="s">
        <v>10</v>
      </c>
      <c r="C20" s="2" t="s">
        <v>30</v>
      </c>
      <c r="D20" s="3">
        <v>2098759</v>
      </c>
      <c r="E20" s="3">
        <v>621309</v>
      </c>
      <c r="F20" s="3">
        <v>2284</v>
      </c>
      <c r="G20" s="3" t="s">
        <v>12</v>
      </c>
      <c r="H20" s="3" t="str">
        <f ca="1">IFERROR(__xludf.DUMMYFUNCTION("GOOGLETRANSLATE(B20,""auto"",""en"")"),"Daily")</f>
        <v>Daily</v>
      </c>
      <c r="I20" s="3" t="str">
        <f ca="1">IFERROR(__xludf.DUMMYFUNCTION("GOOGLETRANSLATE(C20,""auto"",""en"")"),"Hand / leg / wrist / chest / knee / back / elbow protection products")</f>
        <v>Hand / leg / wrist / chest / knee / back / elbow protection products</v>
      </c>
    </row>
    <row r="21" spans="1:9" ht="15.75" customHeight="1" x14ac:dyDescent="0.15">
      <c r="A21" s="2" t="s">
        <v>9</v>
      </c>
      <c r="B21" s="2" t="s">
        <v>10</v>
      </c>
      <c r="C21" s="2" t="s">
        <v>31</v>
      </c>
      <c r="D21" s="3">
        <v>2098759</v>
      </c>
      <c r="E21" s="3">
        <v>621309</v>
      </c>
      <c r="F21" s="3">
        <v>2179</v>
      </c>
      <c r="G21" s="3" t="s">
        <v>12</v>
      </c>
      <c r="H21" s="3" t="str">
        <f ca="1">IFERROR(__xludf.DUMMYFUNCTION("GOOGLETRANSLATE(B21,""auto"",""en"")"),"Daily")</f>
        <v>Daily</v>
      </c>
      <c r="I21" s="3" t="str">
        <f ca="1">IFERROR(__xludf.DUMMYFUNCTION("GOOGLETRANSLATE(C21,""auto"",""en"")"),"Thermal paste")</f>
        <v>Thermal paste</v>
      </c>
    </row>
    <row r="22" spans="1:9" ht="15.75" customHeight="1" x14ac:dyDescent="0.15">
      <c r="A22" s="2" t="s">
        <v>9</v>
      </c>
      <c r="B22" s="2" t="s">
        <v>10</v>
      </c>
      <c r="C22" s="2" t="s">
        <v>32</v>
      </c>
      <c r="D22" s="3">
        <v>2098759</v>
      </c>
      <c r="E22" s="3">
        <v>621309</v>
      </c>
      <c r="F22" s="3">
        <v>2149</v>
      </c>
      <c r="G22" s="3" t="s">
        <v>12</v>
      </c>
      <c r="H22" s="3" t="str">
        <f ca="1">IFERROR(__xludf.DUMMYFUNCTION("GOOGLETRANSLATE(B22,""auto"",""en"")"),"Daily")</f>
        <v>Daily</v>
      </c>
      <c r="I22" s="3" t="str">
        <f ca="1">IFERROR(__xludf.DUMMYFUNCTION("GOOGLETRANSLATE(C22,""auto"",""en"")"),"Essential oils / spices")</f>
        <v>Essential oils / spices</v>
      </c>
    </row>
    <row r="23" spans="1:9" ht="15.75" customHeight="1" x14ac:dyDescent="0.15">
      <c r="A23" s="2" t="s">
        <v>9</v>
      </c>
      <c r="B23" s="2" t="s">
        <v>10</v>
      </c>
      <c r="C23" s="2" t="s">
        <v>33</v>
      </c>
      <c r="D23" s="3">
        <v>2098759</v>
      </c>
      <c r="E23" s="3">
        <v>621309</v>
      </c>
      <c r="F23" s="3">
        <v>2067</v>
      </c>
      <c r="G23" s="3" t="s">
        <v>12</v>
      </c>
      <c r="H23" s="3" t="str">
        <f ca="1">IFERROR(__xludf.DUMMYFUNCTION("GOOGLETRANSLATE(B23,""auto"",""en"")"),"Daily")</f>
        <v>Daily</v>
      </c>
      <c r="I23" s="3" t="str">
        <f ca="1">IFERROR(__xludf.DUMMYFUNCTION("GOOGLETRANSLATE(C23,""auto"",""en"")"),"Moxibustion / Acupuncture Tool")</f>
        <v>Moxibustion / Acupuncture Tool</v>
      </c>
    </row>
    <row r="24" spans="1:9" ht="15.75" customHeight="1" x14ac:dyDescent="0.15">
      <c r="A24" s="2" t="s">
        <v>9</v>
      </c>
      <c r="B24" s="2" t="s">
        <v>10</v>
      </c>
      <c r="C24" s="2" t="s">
        <v>34</v>
      </c>
      <c r="D24" s="3">
        <v>2098759</v>
      </c>
      <c r="E24" s="3">
        <v>621309</v>
      </c>
      <c r="F24" s="3">
        <v>1945</v>
      </c>
      <c r="G24" s="3" t="s">
        <v>12</v>
      </c>
      <c r="H24" s="3" t="str">
        <f ca="1">IFERROR(__xludf.DUMMYFUNCTION("GOOGLETRANSLATE(B24,""auto"",""en"")"),"Daily")</f>
        <v>Daily</v>
      </c>
      <c r="I24" s="3" t="str">
        <f ca="1">IFERROR(__xludf.DUMMYFUNCTION("GOOGLETRANSLATE(C24,""auto"",""en"")"),"Air purification agent / fragrance")</f>
        <v>Air purification agent / fragrance</v>
      </c>
    </row>
    <row r="25" spans="1:9" ht="15.75" customHeight="1" x14ac:dyDescent="0.15">
      <c r="A25" s="2" t="s">
        <v>9</v>
      </c>
      <c r="B25" s="2" t="s">
        <v>10</v>
      </c>
      <c r="C25" s="2" t="s">
        <v>35</v>
      </c>
      <c r="D25" s="3">
        <v>2098759</v>
      </c>
      <c r="E25" s="3">
        <v>621309</v>
      </c>
      <c r="F25" s="3">
        <v>1847</v>
      </c>
      <c r="G25" s="3" t="s">
        <v>12</v>
      </c>
      <c r="H25" s="3" t="str">
        <f ca="1">IFERROR(__xludf.DUMMYFUNCTION("GOOGLETRANSLATE(B25,""auto"",""en"")"),"Daily")</f>
        <v>Daily</v>
      </c>
      <c r="I25" s="3" t="str">
        <f ca="1">IFERROR(__xludf.DUMMYFUNCTION("GOOGLETRANSLATE(C25,""auto"",""en"")"),"Soap box / Soap Network / rack")</f>
        <v>Soap box / Soap Network / rack</v>
      </c>
    </row>
    <row r="26" spans="1:9" ht="15.75" customHeight="1" x14ac:dyDescent="0.15">
      <c r="A26" s="2" t="s">
        <v>9</v>
      </c>
      <c r="B26" s="2" t="s">
        <v>10</v>
      </c>
      <c r="C26" s="2" t="s">
        <v>36</v>
      </c>
      <c r="D26" s="3">
        <v>2098759</v>
      </c>
      <c r="E26" s="3">
        <v>621309</v>
      </c>
      <c r="F26" s="3">
        <v>1840</v>
      </c>
      <c r="G26" s="3" t="s">
        <v>12</v>
      </c>
      <c r="H26" s="3" t="str">
        <f ca="1">IFERROR(__xludf.DUMMYFUNCTION("GOOGLETRANSLATE(B26,""auto"",""en"")"),"Daily")</f>
        <v>Daily</v>
      </c>
      <c r="I26" s="3" t="str">
        <f ca="1">IFERROR(__xludf.DUMMYFUNCTION("GOOGLETRANSLATE(C26,""auto"",""en"")"),"Masks")</f>
        <v>Masks</v>
      </c>
    </row>
    <row r="27" spans="1:9" ht="15.75" customHeight="1" x14ac:dyDescent="0.15">
      <c r="A27" s="2" t="s">
        <v>9</v>
      </c>
      <c r="B27" s="2" t="s">
        <v>10</v>
      </c>
      <c r="C27" s="2" t="s">
        <v>37</v>
      </c>
      <c r="D27" s="3">
        <v>2098759</v>
      </c>
      <c r="E27" s="3">
        <v>621309</v>
      </c>
      <c r="F27" s="3">
        <v>1808</v>
      </c>
      <c r="G27" s="3" t="s">
        <v>12</v>
      </c>
      <c r="H27" s="3" t="str">
        <f ca="1">IFERROR(__xludf.DUMMYFUNCTION("GOOGLETRANSLATE(B27,""auto"",""en"")"),"Daily")</f>
        <v>Daily</v>
      </c>
      <c r="I27" s="3" t="str">
        <f ca="1">IFERROR(__xludf.DUMMYFUNCTION("GOOGLETRANSLATE(C27,""auto"",""en"")"),"Wash cup")</f>
        <v>Wash cup</v>
      </c>
    </row>
    <row r="28" spans="1:9" ht="15.75" customHeight="1" x14ac:dyDescent="0.15">
      <c r="A28" s="2" t="s">
        <v>9</v>
      </c>
      <c r="B28" s="2" t="s">
        <v>10</v>
      </c>
      <c r="C28" s="2" t="s">
        <v>38</v>
      </c>
      <c r="D28" s="3">
        <v>2098759</v>
      </c>
      <c r="E28" s="3">
        <v>621309</v>
      </c>
      <c r="F28" s="3">
        <v>1619</v>
      </c>
      <c r="G28" s="3" t="s">
        <v>12</v>
      </c>
      <c r="H28" s="3" t="str">
        <f ca="1">IFERROR(__xludf.DUMMYFUNCTION("GOOGLETRANSLATE(B28,""auto"",""en"")"),"Daily")</f>
        <v>Daily</v>
      </c>
      <c r="I28" s="3" t="str">
        <f ca="1">IFERROR(__xludf.DUMMYFUNCTION("GOOGLETRANSLATE(C28,""auto"",""en"")"),"Bathroom Jiaojia / Stands / kits and accessories")</f>
        <v>Bathroom Jiaojia / Stands / kits and accessories</v>
      </c>
    </row>
    <row r="29" spans="1:9" ht="15.75" customHeight="1" x14ac:dyDescent="0.15">
      <c r="A29" s="2" t="s">
        <v>9</v>
      </c>
      <c r="B29" s="2" t="s">
        <v>10</v>
      </c>
      <c r="C29" s="2" t="s">
        <v>39</v>
      </c>
      <c r="D29" s="3">
        <v>2098759</v>
      </c>
      <c r="E29" s="3">
        <v>621309</v>
      </c>
      <c r="F29" s="3">
        <v>1544</v>
      </c>
      <c r="G29" s="3" t="s">
        <v>12</v>
      </c>
      <c r="H29" s="3" t="str">
        <f ca="1">IFERROR(__xludf.DUMMYFUNCTION("GOOGLETRANSLATE(B29,""auto"",""en"")"),"Daily")</f>
        <v>Daily</v>
      </c>
      <c r="I29" s="3" t="str">
        <f ca="1">IFERROR(__xludf.DUMMYFUNCTION("GOOGLETRANSLATE(C29,""auto"",""en"")"),"Shower / shower uncover his head")</f>
        <v>Shower / shower uncover his head</v>
      </c>
    </row>
    <row r="30" spans="1:9" ht="15.75" customHeight="1" x14ac:dyDescent="0.15">
      <c r="A30" s="2" t="s">
        <v>9</v>
      </c>
      <c r="B30" s="2" t="s">
        <v>10</v>
      </c>
      <c r="C30" s="2" t="s">
        <v>40</v>
      </c>
      <c r="D30" s="3">
        <v>2098759</v>
      </c>
      <c r="E30" s="3">
        <v>621309</v>
      </c>
      <c r="F30" s="3">
        <v>1504</v>
      </c>
      <c r="G30" s="3" t="s">
        <v>12</v>
      </c>
      <c r="H30" s="3" t="str">
        <f ca="1">IFERROR(__xludf.DUMMYFUNCTION("GOOGLETRANSLATE(B30,""auto"",""en"")"),"Daily")</f>
        <v>Daily</v>
      </c>
      <c r="I30" s="3" t="str">
        <f ca="1">IFERROR(__xludf.DUMMYFUNCTION("GOOGLETRANSLATE(C30,""auto"",""en"")"),"Aromatherapy")</f>
        <v>Aromatherapy</v>
      </c>
    </row>
    <row r="31" spans="1:9" ht="15.75" customHeight="1" x14ac:dyDescent="0.15">
      <c r="A31" s="2" t="s">
        <v>9</v>
      </c>
      <c r="B31" s="2" t="s">
        <v>10</v>
      </c>
      <c r="C31" s="2" t="s">
        <v>41</v>
      </c>
      <c r="D31" s="3">
        <v>2098759</v>
      </c>
      <c r="E31" s="3">
        <v>621309</v>
      </c>
      <c r="F31" s="3">
        <v>1382</v>
      </c>
      <c r="G31" s="3" t="s">
        <v>12</v>
      </c>
      <c r="H31" s="3" t="str">
        <f ca="1">IFERROR(__xludf.DUMMYFUNCTION("GOOGLETRANSLATE(B31,""auto"",""en"")"),"Daily")</f>
        <v>Daily</v>
      </c>
      <c r="I31" s="3" t="str">
        <f ca="1">IFERROR(__xludf.DUMMYFUNCTION("GOOGLETRANSLATE(C31,""auto"",""en"")"),"Waterproof cloth / rain cover / Canopy")</f>
        <v>Waterproof cloth / rain cover / Canopy</v>
      </c>
    </row>
    <row r="32" spans="1:9" ht="15.75" customHeight="1" x14ac:dyDescent="0.15">
      <c r="A32" s="2" t="s">
        <v>9</v>
      </c>
      <c r="B32" s="2" t="s">
        <v>10</v>
      </c>
      <c r="C32" s="2" t="s">
        <v>42</v>
      </c>
      <c r="D32" s="3">
        <v>2098759</v>
      </c>
      <c r="E32" s="3">
        <v>621309</v>
      </c>
      <c r="F32" s="3">
        <v>1198</v>
      </c>
      <c r="G32" s="3" t="s">
        <v>12</v>
      </c>
      <c r="H32" s="3" t="str">
        <f ca="1">IFERROR(__xludf.DUMMYFUNCTION("GOOGLETRANSLATE(B32,""auto"",""en"")"),"Daily")</f>
        <v>Daily</v>
      </c>
      <c r="I32" s="3" t="str">
        <f ca="1">IFERROR(__xludf.DUMMYFUNCTION("GOOGLETRANSLATE(C32,""auto"",""en"")"),"Insole / heat insole / insoles")</f>
        <v>Insole / heat insole / insoles</v>
      </c>
    </row>
    <row r="33" spans="1:9" ht="15.75" customHeight="1" x14ac:dyDescent="0.15">
      <c r="A33" s="2" t="s">
        <v>9</v>
      </c>
      <c r="B33" s="2" t="s">
        <v>10</v>
      </c>
      <c r="C33" s="2" t="s">
        <v>43</v>
      </c>
      <c r="D33" s="3">
        <v>2098759</v>
      </c>
      <c r="E33" s="3">
        <v>621309</v>
      </c>
      <c r="F33" s="3">
        <v>1064</v>
      </c>
      <c r="G33" s="3" t="s">
        <v>12</v>
      </c>
      <c r="H33" s="3" t="str">
        <f ca="1">IFERROR(__xludf.DUMMYFUNCTION("GOOGLETRANSLATE(B33,""auto"",""en"")"),"Daily")</f>
        <v>Daily</v>
      </c>
      <c r="I33" s="3" t="str">
        <f ca="1">IFERROR(__xludf.DUMMYFUNCTION("GOOGLETRANSLATE(C33,""auto"",""en"")"),"Ultrasonic repellent / electronic insect repellent")</f>
        <v>Ultrasonic repellent / electronic insect repellent</v>
      </c>
    </row>
    <row r="34" spans="1:9" ht="15.75" customHeight="1" x14ac:dyDescent="0.15">
      <c r="A34" s="2" t="s">
        <v>9</v>
      </c>
      <c r="B34" s="2" t="s">
        <v>10</v>
      </c>
      <c r="C34" s="2" t="s">
        <v>44</v>
      </c>
      <c r="D34" s="3">
        <v>2098759</v>
      </c>
      <c r="E34" s="3">
        <v>621309</v>
      </c>
      <c r="F34" s="3">
        <v>947</v>
      </c>
      <c r="G34" s="3" t="s">
        <v>12</v>
      </c>
      <c r="H34" s="3" t="str">
        <f ca="1">IFERROR(__xludf.DUMMYFUNCTION("GOOGLETRANSLATE(B34,""auto"",""en"")"),"Daily")</f>
        <v>Daily</v>
      </c>
      <c r="I34" s="3" t="str">
        <f ca="1">IFERROR(__xludf.DUMMYFUNCTION("GOOGLETRANSLATE(C34,""auto"",""en"")"),"Filter / purifier")</f>
        <v>Filter / purifier</v>
      </c>
    </row>
    <row r="35" spans="1:9" ht="15.75" customHeight="1" x14ac:dyDescent="0.15">
      <c r="A35" s="2" t="s">
        <v>9</v>
      </c>
      <c r="B35" s="2" t="s">
        <v>10</v>
      </c>
      <c r="C35" s="2" t="s">
        <v>45</v>
      </c>
      <c r="D35" s="3">
        <v>2098759</v>
      </c>
      <c r="E35" s="3">
        <v>621309</v>
      </c>
      <c r="F35" s="3">
        <v>869</v>
      </c>
      <c r="G35" s="3" t="s">
        <v>12</v>
      </c>
      <c r="H35" s="3" t="str">
        <f ca="1">IFERROR(__xludf.DUMMYFUNCTION("GOOGLETRANSLATE(B35,""auto"",""en"")"),"Daily")</f>
        <v>Daily</v>
      </c>
      <c r="I35" s="3" t="str">
        <f ca="1">IFERROR(__xludf.DUMMYFUNCTION("GOOGLETRANSLATE(C35,""auto"",""en"")"),"Goggles")</f>
        <v>Goggles</v>
      </c>
    </row>
    <row r="36" spans="1:9" ht="15.75" customHeight="1" x14ac:dyDescent="0.15">
      <c r="A36" s="2" t="s">
        <v>9</v>
      </c>
      <c r="B36" s="2" t="s">
        <v>10</v>
      </c>
      <c r="C36" s="2" t="s">
        <v>46</v>
      </c>
      <c r="D36" s="3">
        <v>2098759</v>
      </c>
      <c r="E36" s="3">
        <v>621309</v>
      </c>
      <c r="F36" s="3">
        <v>662</v>
      </c>
      <c r="G36" s="3" t="s">
        <v>12</v>
      </c>
      <c r="H36" s="3" t="str">
        <f ca="1">IFERROR(__xludf.DUMMYFUNCTION("GOOGLETRANSLATE(B36,""auto"",""en"")"),"Daily")</f>
        <v>Daily</v>
      </c>
      <c r="I36" s="3" t="str">
        <f ca="1">IFERROR(__xludf.DUMMYFUNCTION("GOOGLETRANSLATE(C36,""auto"",""en"")"),"Mosquito coils suit")</f>
        <v>Mosquito coils suit</v>
      </c>
    </row>
    <row r="37" spans="1:9" ht="15.75" customHeight="1" x14ac:dyDescent="0.15">
      <c r="A37" s="2" t="s">
        <v>9</v>
      </c>
      <c r="B37" s="2" t="s">
        <v>10</v>
      </c>
      <c r="C37" s="2" t="s">
        <v>47</v>
      </c>
      <c r="D37" s="3">
        <v>2098759</v>
      </c>
      <c r="E37" s="3">
        <v>621309</v>
      </c>
      <c r="F37" s="3">
        <v>624</v>
      </c>
      <c r="G37" s="3" t="s">
        <v>12</v>
      </c>
      <c r="H37" s="3" t="str">
        <f ca="1">IFERROR(__xludf.DUMMYFUNCTION("GOOGLETRANSLATE(B37,""auto"",""en"")"),"Daily")</f>
        <v>Daily</v>
      </c>
      <c r="I37" s="3" t="str">
        <f ca="1">IFERROR(__xludf.DUMMYFUNCTION("GOOGLETRANSLATE(C37,""auto"",""en"")"),"Toilet brush / toilet brush")</f>
        <v>Toilet brush / toilet brush</v>
      </c>
    </row>
    <row r="38" spans="1:9" ht="15.75" customHeight="1" x14ac:dyDescent="0.15">
      <c r="A38" s="2" t="s">
        <v>9</v>
      </c>
      <c r="B38" s="2" t="s">
        <v>10</v>
      </c>
      <c r="C38" s="2" t="s">
        <v>48</v>
      </c>
      <c r="D38" s="3">
        <v>2098759</v>
      </c>
      <c r="E38" s="3">
        <v>621309</v>
      </c>
      <c r="F38" s="3">
        <v>610</v>
      </c>
      <c r="G38" s="3" t="s">
        <v>12</v>
      </c>
      <c r="H38" s="3" t="str">
        <f ca="1">IFERROR(__xludf.DUMMYFUNCTION("GOOGLETRANSLATE(B38,""auto"",""en"")"),"Daily")</f>
        <v>Daily</v>
      </c>
      <c r="I38" s="3" t="str">
        <f ca="1">IFERROR(__xludf.DUMMYFUNCTION("GOOGLETRANSLATE(C38,""auto"",""en"")"),"Toilet sets / toilet seat")</f>
        <v>Toilet sets / toilet seat</v>
      </c>
    </row>
    <row r="39" spans="1:9" ht="15.75" customHeight="1" x14ac:dyDescent="0.15">
      <c r="A39" s="2" t="s">
        <v>9</v>
      </c>
      <c r="B39" s="2" t="s">
        <v>10</v>
      </c>
      <c r="C39" s="2" t="s">
        <v>49</v>
      </c>
      <c r="D39" s="3">
        <v>2098759</v>
      </c>
      <c r="E39" s="3">
        <v>621309</v>
      </c>
      <c r="F39" s="3">
        <v>576</v>
      </c>
      <c r="G39" s="3" t="s">
        <v>12</v>
      </c>
      <c r="H39" s="3" t="str">
        <f ca="1">IFERROR(__xludf.DUMMYFUNCTION("GOOGLETRANSLATE(B39,""auto"",""en"")"),"Daily")</f>
        <v>Daily</v>
      </c>
      <c r="I39" s="3" t="str">
        <f ca="1">IFERROR(__xludf.DUMMYFUNCTION("GOOGLETRANSLATE(C39,""auto"",""en"")"),"Charcoal bag / box carbon / activated carbon")</f>
        <v>Charcoal bag / box carbon / activated carbon</v>
      </c>
    </row>
    <row r="40" spans="1:9" ht="15.75" customHeight="1" x14ac:dyDescent="0.15">
      <c r="A40" s="2" t="s">
        <v>9</v>
      </c>
      <c r="B40" s="2" t="s">
        <v>10</v>
      </c>
      <c r="C40" s="2" t="s">
        <v>50</v>
      </c>
      <c r="D40" s="3">
        <v>2098759</v>
      </c>
      <c r="E40" s="3">
        <v>621309</v>
      </c>
      <c r="F40" s="3">
        <v>498</v>
      </c>
      <c r="G40" s="3" t="s">
        <v>12</v>
      </c>
      <c r="H40" s="3" t="str">
        <f ca="1">IFERROR(__xludf.DUMMYFUNCTION("GOOGLETRANSLATE(B40,""auto"",""en"")"),"Daily")</f>
        <v>Daily</v>
      </c>
      <c r="I40" s="3" t="str">
        <f ca="1">IFERROR(__xludf.DUMMYFUNCTION("GOOGLETRANSLATE(C40,""auto"",""en"")"),"Rodent cage / mousetrap")</f>
        <v>Rodent cage / mousetrap</v>
      </c>
    </row>
    <row r="41" spans="1:9" ht="15.75" customHeight="1" x14ac:dyDescent="0.15">
      <c r="A41" s="2" t="s">
        <v>9</v>
      </c>
      <c r="B41" s="2" t="s">
        <v>10</v>
      </c>
      <c r="C41" s="2" t="s">
        <v>51</v>
      </c>
      <c r="D41" s="3">
        <v>2098759</v>
      </c>
      <c r="E41" s="3">
        <v>621309</v>
      </c>
      <c r="F41" s="3">
        <v>486</v>
      </c>
      <c r="G41" s="3" t="s">
        <v>12</v>
      </c>
      <c r="H41" s="3" t="str">
        <f ca="1">IFERROR(__xludf.DUMMYFUNCTION("GOOGLETRANSLATE(B41,""auto"",""en"")"),"Daily")</f>
        <v>Daily</v>
      </c>
      <c r="I41" s="3" t="str">
        <f ca="1">IFERROR(__xludf.DUMMYFUNCTION("GOOGLETRANSLATE(C41,""auto"",""en"")"),"Lighting torch")</f>
        <v>Lighting torch</v>
      </c>
    </row>
    <row r="42" spans="1:9" ht="15.75" customHeight="1" x14ac:dyDescent="0.15">
      <c r="A42" s="2" t="s">
        <v>9</v>
      </c>
      <c r="B42" s="2" t="s">
        <v>10</v>
      </c>
      <c r="C42" s="2" t="s">
        <v>52</v>
      </c>
      <c r="D42" s="3">
        <v>2098759</v>
      </c>
      <c r="E42" s="3">
        <v>621309</v>
      </c>
      <c r="F42" s="3">
        <v>470</v>
      </c>
      <c r="G42" s="3" t="s">
        <v>12</v>
      </c>
      <c r="H42" s="3" t="str">
        <f ca="1">IFERROR(__xludf.DUMMYFUNCTION("GOOGLETRANSLATE(B42,""auto"",""en"")"),"Daily")</f>
        <v>Daily</v>
      </c>
      <c r="I42" s="3" t="str">
        <f ca="1">IFERROR(__xludf.DUMMYFUNCTION("GOOGLETRANSLATE(C42,""auto"",""en"")"),"Scissors / hairdressing scissors / shears food")</f>
        <v>Scissors / hairdressing scissors / shears food</v>
      </c>
    </row>
    <row r="43" spans="1:9" ht="15.75" customHeight="1" x14ac:dyDescent="0.15">
      <c r="A43" s="2" t="s">
        <v>9</v>
      </c>
      <c r="B43" s="2" t="s">
        <v>10</v>
      </c>
      <c r="C43" s="2" t="s">
        <v>53</v>
      </c>
      <c r="D43" s="3">
        <v>2098759</v>
      </c>
      <c r="E43" s="3">
        <v>621309</v>
      </c>
      <c r="F43" s="3">
        <v>441</v>
      </c>
      <c r="G43" s="3" t="s">
        <v>12</v>
      </c>
      <c r="H43" s="3" t="str">
        <f ca="1">IFERROR(__xludf.DUMMYFUNCTION("GOOGLETRANSLATE(B43,""auto"",""en"")"),"Daily")</f>
        <v>Daily</v>
      </c>
      <c r="I43" s="3" t="str">
        <f ca="1">IFERROR(__xludf.DUMMYFUNCTION("GOOGLETRANSLATE(C43,""auto"",""en"")"),"Bathing barrels / bath tub")</f>
        <v>Bathing barrels / bath tub</v>
      </c>
    </row>
    <row r="44" spans="1:9" ht="15.75" customHeight="1" x14ac:dyDescent="0.15">
      <c r="A44" s="2" t="s">
        <v>9</v>
      </c>
      <c r="B44" s="2" t="s">
        <v>10</v>
      </c>
      <c r="C44" s="2" t="s">
        <v>54</v>
      </c>
      <c r="D44" s="3">
        <v>2098759</v>
      </c>
      <c r="E44" s="3">
        <v>621309</v>
      </c>
      <c r="F44" s="3">
        <v>351</v>
      </c>
      <c r="G44" s="3" t="s">
        <v>12</v>
      </c>
      <c r="H44" s="3" t="str">
        <f ca="1">IFERROR(__xludf.DUMMYFUNCTION("GOOGLETRANSLATE(B44,""auto"",""en"")"),"Daily")</f>
        <v>Daily</v>
      </c>
      <c r="I44" s="3" t="str">
        <f ca="1">IFERROR(__xludf.DUMMYFUNCTION("GOOGLETRANSLATE(C44,""auto"",""en"")"),"Tableware")</f>
        <v>Tableware</v>
      </c>
    </row>
    <row r="45" spans="1:9" ht="15.75" customHeight="1" x14ac:dyDescent="0.15">
      <c r="A45" s="2" t="s">
        <v>9</v>
      </c>
      <c r="B45" s="2" t="s">
        <v>10</v>
      </c>
      <c r="C45" s="2" t="s">
        <v>55</v>
      </c>
      <c r="D45" s="3">
        <v>2098759</v>
      </c>
      <c r="E45" s="3">
        <v>621309</v>
      </c>
      <c r="F45" s="3">
        <v>348</v>
      </c>
      <c r="G45" s="3" t="s">
        <v>12</v>
      </c>
      <c r="H45" s="3" t="str">
        <f ca="1">IFERROR(__xludf.DUMMYFUNCTION("GOOGLETRANSLATE(B45,""auto"",""en"")"),"Daily")</f>
        <v>Daily</v>
      </c>
      <c r="I45" s="3" t="str">
        <f ca="1">IFERROR(__xludf.DUMMYFUNCTION("GOOGLETRANSLATE(C45,""auto"",""en"")"),"Refrigerator deodorant / desiccant")</f>
        <v>Refrigerator deodorant / desiccant</v>
      </c>
    </row>
    <row r="46" spans="1:9" ht="15.75" customHeight="1" x14ac:dyDescent="0.15">
      <c r="A46" s="2" t="s">
        <v>9</v>
      </c>
      <c r="B46" s="2" t="s">
        <v>10</v>
      </c>
      <c r="C46" s="2" t="s">
        <v>56</v>
      </c>
      <c r="D46" s="3">
        <v>2098759</v>
      </c>
      <c r="E46" s="3">
        <v>621309</v>
      </c>
      <c r="F46" s="3">
        <v>320</v>
      </c>
      <c r="G46" s="3" t="s">
        <v>12</v>
      </c>
      <c r="H46" s="3" t="str">
        <f ca="1">IFERROR(__xludf.DUMMYFUNCTION("GOOGLETRANSLATE(B46,""auto"",""en"")"),"Daily")</f>
        <v>Daily</v>
      </c>
      <c r="I46" s="3" t="str">
        <f ca="1">IFERROR(__xludf.DUMMYFUNCTION("GOOGLETRANSLATE(C46,""auto"",""en"")"),"Moisture-proof pad / mat drawer")</f>
        <v>Moisture-proof pad / mat drawer</v>
      </c>
    </row>
    <row r="47" spans="1:9" ht="13" x14ac:dyDescent="0.15">
      <c r="A47" s="2" t="s">
        <v>9</v>
      </c>
      <c r="B47" s="2" t="s">
        <v>10</v>
      </c>
      <c r="C47" s="2" t="s">
        <v>57</v>
      </c>
      <c r="D47" s="3">
        <v>2098759</v>
      </c>
      <c r="E47" s="3">
        <v>621309</v>
      </c>
      <c r="F47" s="3">
        <v>308</v>
      </c>
      <c r="G47" s="3" t="s">
        <v>12</v>
      </c>
      <c r="H47" s="3" t="str">
        <f ca="1">IFERROR(__xludf.DUMMYFUNCTION("GOOGLETRANSLATE(B47,""auto"",""en"")"),"Daily")</f>
        <v>Daily</v>
      </c>
      <c r="I47" s="3" t="str">
        <f ca="1">IFERROR(__xludf.DUMMYFUNCTION("GOOGLETRANSLATE(C47,""auto"",""en"")"),"Panxiang / Mosquitocide incense / mosquito coils")</f>
        <v>Panxiang / Mosquitocide incense / mosquito coils</v>
      </c>
    </row>
    <row r="48" spans="1:9" ht="13" x14ac:dyDescent="0.15">
      <c r="A48" s="2" t="s">
        <v>9</v>
      </c>
      <c r="B48" s="2" t="s">
        <v>10</v>
      </c>
      <c r="C48" s="2" t="s">
        <v>58</v>
      </c>
      <c r="D48" s="3">
        <v>2098759</v>
      </c>
      <c r="E48" s="3">
        <v>621309</v>
      </c>
      <c r="F48" s="3">
        <v>291</v>
      </c>
      <c r="G48" s="3" t="s">
        <v>12</v>
      </c>
      <c r="H48" s="3" t="str">
        <f ca="1">IFERROR(__xludf.DUMMYFUNCTION("GOOGLETRANSLATE(B48,""auto"",""en"")"),"Daily")</f>
        <v>Daily</v>
      </c>
      <c r="I48" s="3" t="str">
        <f ca="1">IFERROR(__xludf.DUMMYFUNCTION("GOOGLETRANSLATE(C48,""auto"",""en"")"),"Shoe brush / shoe rubbing")</f>
        <v>Shoe brush / shoe rubbing</v>
      </c>
    </row>
    <row r="49" spans="1:9" ht="13" x14ac:dyDescent="0.15">
      <c r="A49" s="2" t="s">
        <v>9</v>
      </c>
      <c r="B49" s="2" t="s">
        <v>10</v>
      </c>
      <c r="C49" s="2" t="s">
        <v>59</v>
      </c>
      <c r="D49" s="3">
        <v>2098759</v>
      </c>
      <c r="E49" s="3">
        <v>621309</v>
      </c>
      <c r="F49" s="3">
        <v>256</v>
      </c>
      <c r="G49" s="3" t="s">
        <v>12</v>
      </c>
      <c r="H49" s="3" t="str">
        <f ca="1">IFERROR(__xludf.DUMMYFUNCTION("GOOGLETRANSLATE(B49,""auto"",""en"")"),"Daily")</f>
        <v>Daily</v>
      </c>
      <c r="I49" s="3" t="str">
        <f ca="1">IFERROR(__xludf.DUMMYFUNCTION("GOOGLETRANSLATE(C49,""auto"",""en"")"),"Mosquito coils")</f>
        <v>Mosquito coils</v>
      </c>
    </row>
    <row r="50" spans="1:9" ht="13" x14ac:dyDescent="0.15">
      <c r="A50" s="2" t="s">
        <v>9</v>
      </c>
      <c r="B50" s="2" t="s">
        <v>10</v>
      </c>
      <c r="C50" s="2" t="s">
        <v>60</v>
      </c>
      <c r="D50" s="3">
        <v>2098759</v>
      </c>
      <c r="E50" s="3">
        <v>621309</v>
      </c>
      <c r="F50" s="3">
        <v>234</v>
      </c>
      <c r="G50" s="3" t="s">
        <v>12</v>
      </c>
      <c r="H50" s="3" t="str">
        <f ca="1">IFERROR(__xludf.DUMMYFUNCTION("GOOGLETRANSLATE(B50,""auto"",""en"")"),"Daily")</f>
        <v>Daily</v>
      </c>
      <c r="I50" s="3" t="str">
        <f ca="1">IFERROR(__xludf.DUMMYFUNCTION("GOOGLETRANSLATE(C50,""auto"",""en"")"),"Vanity mirror / mirror cabinet")</f>
        <v>Vanity mirror / mirror cabinet</v>
      </c>
    </row>
    <row r="51" spans="1:9" ht="13" x14ac:dyDescent="0.15">
      <c r="A51" s="2" t="s">
        <v>9</v>
      </c>
      <c r="B51" s="2" t="s">
        <v>10</v>
      </c>
      <c r="C51" s="2" t="s">
        <v>61</v>
      </c>
      <c r="D51" s="3">
        <v>2098759</v>
      </c>
      <c r="E51" s="3">
        <v>621309</v>
      </c>
      <c r="F51" s="3">
        <v>232</v>
      </c>
      <c r="G51" s="3" t="s">
        <v>12</v>
      </c>
      <c r="H51" s="3" t="str">
        <f ca="1">IFERROR(__xludf.DUMMYFUNCTION("GOOGLETRANSLATE(B51,""auto"",""en"")"),"Daily")</f>
        <v>Daily</v>
      </c>
      <c r="I51" s="3" t="str">
        <f ca="1">IFERROR(__xludf.DUMMYFUNCTION("GOOGLETRANSLATE(C51,""auto"",""en"")"),"Towel hanging / towel rack")</f>
        <v>Towel hanging / towel rack</v>
      </c>
    </row>
    <row r="52" spans="1:9" ht="13" x14ac:dyDescent="0.15">
      <c r="A52" s="2" t="s">
        <v>9</v>
      </c>
      <c r="B52" s="2" t="s">
        <v>10</v>
      </c>
      <c r="C52" s="2" t="s">
        <v>62</v>
      </c>
      <c r="D52" s="3">
        <v>2098759</v>
      </c>
      <c r="E52" s="3">
        <v>621309</v>
      </c>
      <c r="F52" s="3">
        <v>203</v>
      </c>
      <c r="G52" s="3" t="s">
        <v>12</v>
      </c>
      <c r="H52" s="3" t="str">
        <f ca="1">IFERROR(__xludf.DUMMYFUNCTION("GOOGLETRANSLATE(B52,""auto"",""en"")"),"Daily")</f>
        <v>Daily</v>
      </c>
      <c r="I52" s="3" t="str">
        <f ca="1">IFERROR(__xludf.DUMMYFUNCTION("GOOGLETRANSLATE(C52,""auto"",""en"")"),"Mold decay tablets")</f>
        <v>Mold decay tablets</v>
      </c>
    </row>
    <row r="53" spans="1:9" ht="13" x14ac:dyDescent="0.15">
      <c r="A53" s="2" t="s">
        <v>9</v>
      </c>
      <c r="B53" s="2" t="s">
        <v>10</v>
      </c>
      <c r="C53" s="2" t="s">
        <v>63</v>
      </c>
      <c r="D53" s="3">
        <v>2098759</v>
      </c>
      <c r="E53" s="3">
        <v>621309</v>
      </c>
      <c r="F53" s="3">
        <v>174</v>
      </c>
      <c r="G53" s="3" t="s">
        <v>12</v>
      </c>
      <c r="H53" s="3" t="str">
        <f ca="1">IFERROR(__xludf.DUMMYFUNCTION("GOOGLETRANSLATE(B53,""auto"",""en"")"),"Daily")</f>
        <v>Daily</v>
      </c>
      <c r="I53" s="3" t="str">
        <f ca="1">IFERROR(__xludf.DUMMYFUNCTION("GOOGLETRANSLATE(C53,""auto"",""en"")"),"Rewinder / paper towel holder")</f>
        <v>Rewinder / paper towel holder</v>
      </c>
    </row>
    <row r="54" spans="1:9" ht="13" x14ac:dyDescent="0.15">
      <c r="A54" s="2" t="s">
        <v>9</v>
      </c>
      <c r="B54" s="2" t="s">
        <v>10</v>
      </c>
      <c r="C54" s="2" t="s">
        <v>64</v>
      </c>
      <c r="D54" s="3">
        <v>2098759</v>
      </c>
      <c r="E54" s="3">
        <v>621309</v>
      </c>
      <c r="F54" s="3">
        <v>155</v>
      </c>
      <c r="G54" s="3" t="s">
        <v>12</v>
      </c>
      <c r="H54" s="3" t="str">
        <f ca="1">IFERROR(__xludf.DUMMYFUNCTION("GOOGLETRANSLATE(B54,""auto"",""en"")"),"Daily")</f>
        <v>Daily</v>
      </c>
      <c r="I54" s="3" t="str">
        <f ca="1">IFERROR(__xludf.DUMMYFUNCTION("GOOGLETRANSLATE(C54,""auto"",""en"")"),"Shoe covers")</f>
        <v>Shoe covers</v>
      </c>
    </row>
    <row r="55" spans="1:9" ht="13" x14ac:dyDescent="0.15">
      <c r="A55" s="2" t="s">
        <v>9</v>
      </c>
      <c r="B55" s="2" t="s">
        <v>10</v>
      </c>
      <c r="C55" s="2" t="s">
        <v>65</v>
      </c>
      <c r="D55" s="3">
        <v>2098759</v>
      </c>
      <c r="E55" s="3">
        <v>621309</v>
      </c>
      <c r="F55" s="3">
        <v>142</v>
      </c>
      <c r="G55" s="3" t="s">
        <v>12</v>
      </c>
      <c r="H55" s="3" t="str">
        <f ca="1">IFERROR(__xludf.DUMMYFUNCTION("GOOGLETRANSLATE(B55,""auto"",""en"")"),"Daily")</f>
        <v>Daily</v>
      </c>
      <c r="I55" s="3" t="str">
        <f ca="1">IFERROR(__xludf.DUMMYFUNCTION("GOOGLETRANSLATE(C55,""auto"",""en"")"),"Fan / fan accessories")</f>
        <v>Fan / fan accessories</v>
      </c>
    </row>
    <row r="56" spans="1:9" ht="13" x14ac:dyDescent="0.15">
      <c r="A56" s="2" t="s">
        <v>9</v>
      </c>
      <c r="B56" s="2" t="s">
        <v>10</v>
      </c>
      <c r="C56" s="2" t="s">
        <v>66</v>
      </c>
      <c r="D56" s="3">
        <v>2098759</v>
      </c>
      <c r="E56" s="3">
        <v>621309</v>
      </c>
      <c r="F56" s="3">
        <v>140</v>
      </c>
      <c r="G56" s="3" t="s">
        <v>12</v>
      </c>
      <c r="H56" s="3" t="str">
        <f ca="1">IFERROR(__xludf.DUMMYFUNCTION("GOOGLETRANSLATE(B56,""auto"",""en"")"),"Daily")</f>
        <v>Daily</v>
      </c>
      <c r="I56" s="3" t="str">
        <f ca="1">IFERROR(__xludf.DUMMYFUNCTION("GOOGLETRANSLATE(C56,""auto"",""en"")"),"Manual massage tools")</f>
        <v>Manual massage tools</v>
      </c>
    </row>
    <row r="57" spans="1:9" ht="13" x14ac:dyDescent="0.15">
      <c r="A57" s="2" t="s">
        <v>9</v>
      </c>
      <c r="B57" s="2" t="s">
        <v>10</v>
      </c>
      <c r="C57" s="2" t="s">
        <v>67</v>
      </c>
      <c r="D57" s="3">
        <v>2098759</v>
      </c>
      <c r="E57" s="3">
        <v>621309</v>
      </c>
      <c r="F57" s="3">
        <v>140</v>
      </c>
      <c r="G57" s="3" t="s">
        <v>12</v>
      </c>
      <c r="H57" s="3" t="str">
        <f ca="1">IFERROR(__xludf.DUMMYFUNCTION("GOOGLETRANSLATE(B57,""auto"",""en"")"),"Daily")</f>
        <v>Daily</v>
      </c>
      <c r="I57" s="3" t="str">
        <f ca="1">IFERROR(__xludf.DUMMYFUNCTION("GOOGLETRANSLATE(C57,""auto"",""en"")"),"Water plug")</f>
        <v>Water plug</v>
      </c>
    </row>
    <row r="58" spans="1:9" ht="13" x14ac:dyDescent="0.15">
      <c r="A58" s="2" t="s">
        <v>9</v>
      </c>
      <c r="B58" s="2" t="s">
        <v>10</v>
      </c>
      <c r="C58" s="2" t="s">
        <v>68</v>
      </c>
      <c r="D58" s="3">
        <v>2098759</v>
      </c>
      <c r="E58" s="3">
        <v>621309</v>
      </c>
      <c r="F58" s="3">
        <v>104</v>
      </c>
      <c r="G58" s="3" t="s">
        <v>12</v>
      </c>
      <c r="H58" s="3" t="str">
        <f ca="1">IFERROR(__xludf.DUMMYFUNCTION("GOOGLETRANSLATE(B58,""auto"",""en"")"),"Daily")</f>
        <v>Daily</v>
      </c>
      <c r="I58" s="3" t="str">
        <f ca="1">IFERROR(__xludf.DUMMYFUNCTION("GOOGLETRANSLATE(C58,""auto"",""en"")"),"Formaldehyde scavenger / formaldehyde test")</f>
        <v>Formaldehyde scavenger / formaldehyde test</v>
      </c>
    </row>
    <row r="59" spans="1:9" ht="13" x14ac:dyDescent="0.15">
      <c r="A59" s="2" t="s">
        <v>9</v>
      </c>
      <c r="B59" s="2" t="s">
        <v>10</v>
      </c>
      <c r="C59" s="2" t="s">
        <v>69</v>
      </c>
      <c r="D59" s="3">
        <v>2098759</v>
      </c>
      <c r="E59" s="3">
        <v>621309</v>
      </c>
      <c r="F59" s="3">
        <v>101</v>
      </c>
      <c r="G59" s="3" t="s">
        <v>12</v>
      </c>
      <c r="H59" s="3" t="str">
        <f ca="1">IFERROR(__xludf.DUMMYFUNCTION("GOOGLETRANSLATE(B59,""auto"",""en"")"),"Daily")</f>
        <v>Daily</v>
      </c>
      <c r="I59" s="3" t="str">
        <f ca="1">IFERROR(__xludf.DUMMYFUNCTION("GOOGLETRANSLATE(C59,""auto"",""en"")"),"Hot water bottle / water bottle cover")</f>
        <v>Hot water bottle / water bottle cover</v>
      </c>
    </row>
    <row r="60" spans="1:9" ht="13" x14ac:dyDescent="0.15">
      <c r="A60" s="2" t="s">
        <v>9</v>
      </c>
      <c r="B60" s="2" t="s">
        <v>10</v>
      </c>
      <c r="C60" s="2" t="s">
        <v>70</v>
      </c>
      <c r="D60" s="3">
        <v>2098759</v>
      </c>
      <c r="E60" s="3">
        <v>621309</v>
      </c>
      <c r="F60" s="3">
        <v>74</v>
      </c>
      <c r="G60" s="3" t="s">
        <v>12</v>
      </c>
      <c r="H60" s="3" t="str">
        <f ca="1">IFERROR(__xludf.DUMMYFUNCTION("GOOGLETRANSLATE(B60,""auto"",""en"")"),"Daily")</f>
        <v>Daily</v>
      </c>
      <c r="I60" s="3" t="str">
        <f ca="1">IFERROR(__xludf.DUMMYFUNCTION("GOOGLETRANSLATE(C60,""auto"",""en"")"),"Full-length mirror / double-sided mirror / bathroom mirror")</f>
        <v>Full-length mirror / double-sided mirror / bathroom mirror</v>
      </c>
    </row>
    <row r="61" spans="1:9" ht="13" x14ac:dyDescent="0.15">
      <c r="A61" s="2" t="s">
        <v>9</v>
      </c>
      <c r="B61" s="2" t="s">
        <v>10</v>
      </c>
      <c r="C61" s="2" t="s">
        <v>71</v>
      </c>
      <c r="D61" s="3">
        <v>2098759</v>
      </c>
      <c r="E61" s="3">
        <v>621309</v>
      </c>
      <c r="F61" s="3">
        <v>63</v>
      </c>
      <c r="G61" s="3" t="s">
        <v>12</v>
      </c>
      <c r="H61" s="3" t="str">
        <f ca="1">IFERROR(__xludf.DUMMYFUNCTION("GOOGLETRANSLATE(B61,""auto"",""en"")"),"Daily")</f>
        <v>Daily</v>
      </c>
      <c r="I61" s="3" t="str">
        <f ca="1">IFERROR(__xludf.DUMMYFUNCTION("GOOGLETRANSLATE(C61,""auto"",""en"")"),"Pipeline dredge")</f>
        <v>Pipeline dredge</v>
      </c>
    </row>
    <row r="62" spans="1:9" ht="13" x14ac:dyDescent="0.15">
      <c r="A62" s="2" t="s">
        <v>9</v>
      </c>
      <c r="B62" s="2" t="s">
        <v>10</v>
      </c>
      <c r="C62" s="2" t="s">
        <v>72</v>
      </c>
      <c r="D62" s="3">
        <v>2098759</v>
      </c>
      <c r="E62" s="3">
        <v>621309</v>
      </c>
      <c r="F62" s="3">
        <v>54</v>
      </c>
      <c r="G62" s="3" t="s">
        <v>12</v>
      </c>
      <c r="H62" s="3" t="str">
        <f ca="1">IFERROR(__xludf.DUMMYFUNCTION("GOOGLETRANSLATE(B62,""auto"",""en"")"),"Daily")</f>
        <v>Daily</v>
      </c>
      <c r="I62" s="3" t="str">
        <f ca="1">IFERROR(__xludf.DUMMYFUNCTION("GOOGLETRANSLATE(C62,""auto"",""en"")"),"Foot tub / barrel")</f>
        <v>Foot tub / barrel</v>
      </c>
    </row>
    <row r="63" spans="1:9" ht="13" x14ac:dyDescent="0.15">
      <c r="A63" s="2" t="s">
        <v>9</v>
      </c>
      <c r="B63" s="2" t="s">
        <v>10</v>
      </c>
      <c r="C63" s="2" t="s">
        <v>73</v>
      </c>
      <c r="D63" s="3">
        <v>2098759</v>
      </c>
      <c r="E63" s="3">
        <v>621309</v>
      </c>
      <c r="F63" s="3">
        <v>43</v>
      </c>
      <c r="G63" s="3" t="s">
        <v>12</v>
      </c>
      <c r="H63" s="3" t="str">
        <f ca="1">IFERROR(__xludf.DUMMYFUNCTION("GOOGLETRANSLATE(B63,""auto"",""en"")"),"Daily")</f>
        <v>Daily</v>
      </c>
      <c r="I63" s="3" t="str">
        <f ca="1">IFERROR(__xludf.DUMMYFUNCTION("GOOGLETRANSLATE(C63,""auto"",""en"")"),"winter gloves")</f>
        <v>winter gloves</v>
      </c>
    </row>
    <row r="64" spans="1:9" ht="13" x14ac:dyDescent="0.15">
      <c r="A64" s="2" t="s">
        <v>9</v>
      </c>
      <c r="B64" s="2" t="s">
        <v>10</v>
      </c>
      <c r="C64" s="2" t="s">
        <v>74</v>
      </c>
      <c r="D64" s="3">
        <v>2098759</v>
      </c>
      <c r="E64" s="3">
        <v>621309</v>
      </c>
      <c r="F64" s="3">
        <v>36</v>
      </c>
      <c r="G64" s="3" t="s">
        <v>12</v>
      </c>
      <c r="H64" s="3" t="str">
        <f ca="1">IFERROR(__xludf.DUMMYFUNCTION("GOOGLETRANSLATE(B64,""auto"",""en"")"),"Daily")</f>
        <v>Daily</v>
      </c>
      <c r="I64" s="3" t="str">
        <f ca="1">IFERROR(__xludf.DUMMYFUNCTION("GOOGLETRANSLATE(C64,""auto"",""en"")"),"Body sculpting waist belt")</f>
        <v>Body sculpting waist belt</v>
      </c>
    </row>
    <row r="65" spans="1:9" ht="13" x14ac:dyDescent="0.15">
      <c r="A65" s="2" t="s">
        <v>9</v>
      </c>
      <c r="B65" s="2" t="s">
        <v>10</v>
      </c>
      <c r="C65" s="2" t="s">
        <v>75</v>
      </c>
      <c r="D65" s="3">
        <v>2098759</v>
      </c>
      <c r="E65" s="3">
        <v>621309</v>
      </c>
      <c r="F65" s="3">
        <v>21</v>
      </c>
      <c r="G65" s="3" t="s">
        <v>12</v>
      </c>
      <c r="H65" s="3" t="str">
        <f ca="1">IFERROR(__xludf.DUMMYFUNCTION("GOOGLETRANSLATE(B65,""auto"",""en"")"),"Daily")</f>
        <v>Daily</v>
      </c>
      <c r="I65" s="3" t="str">
        <f ca="1">IFERROR(__xludf.DUMMYFUNCTION("GOOGLETRANSLATE(C65,""auto"",""en"")"),"spittoon")</f>
        <v>spittoon</v>
      </c>
    </row>
    <row r="66" spans="1:9" ht="13" x14ac:dyDescent="0.15">
      <c r="A66" s="2" t="s">
        <v>9</v>
      </c>
      <c r="B66" s="2" t="s">
        <v>10</v>
      </c>
      <c r="C66" s="2" t="s">
        <v>76</v>
      </c>
      <c r="D66" s="3">
        <v>2098759</v>
      </c>
      <c r="E66" s="3">
        <v>621309</v>
      </c>
      <c r="F66" s="3">
        <v>17</v>
      </c>
      <c r="G66" s="3" t="s">
        <v>12</v>
      </c>
      <c r="H66" s="3" t="str">
        <f ca="1">IFERROR(__xludf.DUMMYFUNCTION("GOOGLETRANSLATE(B66,""auto"",""en"")"),"Daily")</f>
        <v>Daily</v>
      </c>
      <c r="I66" s="3" t="str">
        <f ca="1">IFERROR(__xludf.DUMMYFUNCTION("GOOGLETRANSLATE(C66,""auto"",""en"")"),"shoes dryer")</f>
        <v>shoes dryer</v>
      </c>
    </row>
    <row r="67" spans="1:9" ht="13" x14ac:dyDescent="0.15">
      <c r="A67" s="2" t="s">
        <v>9</v>
      </c>
      <c r="B67" s="2" t="s">
        <v>10</v>
      </c>
      <c r="C67" s="2" t="s">
        <v>77</v>
      </c>
      <c r="D67" s="3">
        <v>2098759</v>
      </c>
      <c r="E67" s="3">
        <v>621309</v>
      </c>
      <c r="F67" s="3">
        <v>13</v>
      </c>
      <c r="G67" s="3" t="s">
        <v>12</v>
      </c>
      <c r="H67" s="3" t="str">
        <f ca="1">IFERROR(__xludf.DUMMYFUNCTION("GOOGLETRANSLATE(B67,""auto"",""en"")"),"Daily")</f>
        <v>Daily</v>
      </c>
      <c r="I67" s="3" t="str">
        <f ca="1">IFERROR(__xludf.DUMMYFUNCTION("GOOGLETRANSLATE(C67,""auto"",""en"")"),"Cup holder")</f>
        <v>Cup holder</v>
      </c>
    </row>
    <row r="68" spans="1:9" ht="13" x14ac:dyDescent="0.15">
      <c r="A68" s="2" t="s">
        <v>9</v>
      </c>
      <c r="B68" s="2" t="s">
        <v>10</v>
      </c>
      <c r="C68" s="2" t="s">
        <v>78</v>
      </c>
      <c r="D68" s="3">
        <v>2098759</v>
      </c>
      <c r="E68" s="3">
        <v>621309</v>
      </c>
      <c r="F68" s="3">
        <v>13</v>
      </c>
      <c r="G68" s="3" t="s">
        <v>12</v>
      </c>
      <c r="H68" s="3" t="str">
        <f ca="1">IFERROR(__xludf.DUMMYFUNCTION("GOOGLETRANSLATE(B68,""auto"",""en"")"),"Daily")</f>
        <v>Daily</v>
      </c>
      <c r="I68" s="3" t="str">
        <f ca="1">IFERROR(__xludf.DUMMYFUNCTION("GOOGLETRANSLATE(C68,""auto"",""en"")"),"Warmer / dedicated oil / sleeve warmers")</f>
        <v>Warmer / dedicated oil / sleeve warmers</v>
      </c>
    </row>
    <row r="69" spans="1:9" ht="13" x14ac:dyDescent="0.15">
      <c r="A69" s="2" t="s">
        <v>9</v>
      </c>
      <c r="B69" s="2" t="s">
        <v>10</v>
      </c>
      <c r="C69" s="2" t="s">
        <v>79</v>
      </c>
      <c r="D69" s="3">
        <v>2098759</v>
      </c>
      <c r="E69" s="3">
        <v>621309</v>
      </c>
      <c r="F69" s="3">
        <v>13</v>
      </c>
      <c r="G69" s="3" t="s">
        <v>12</v>
      </c>
      <c r="H69" s="3" t="str">
        <f ca="1">IFERROR(__xludf.DUMMYFUNCTION("GOOGLETRANSLATE(B69,""auto"",""en"")"),"Daily")</f>
        <v>Daily</v>
      </c>
      <c r="I69" s="3" t="str">
        <f ca="1">IFERROR(__xludf.DUMMYFUNCTION("GOOGLETRANSLATE(C69,""auto"",""en"")"),"Mosquito coil heater")</f>
        <v>Mosquito coil heater</v>
      </c>
    </row>
    <row r="70" spans="1:9" ht="13" x14ac:dyDescent="0.15">
      <c r="A70" s="2" t="s">
        <v>9</v>
      </c>
      <c r="B70" s="2" t="s">
        <v>10</v>
      </c>
      <c r="C70" s="2" t="s">
        <v>80</v>
      </c>
      <c r="D70" s="3">
        <v>2098759</v>
      </c>
      <c r="E70" s="3">
        <v>621309</v>
      </c>
      <c r="F70" s="3">
        <v>11</v>
      </c>
      <c r="G70" s="3" t="s">
        <v>12</v>
      </c>
      <c r="H70" s="3" t="str">
        <f ca="1">IFERROR(__xludf.DUMMYFUNCTION("GOOGLETRANSLATE(B70,""auto"",""en"")"),"Daily")</f>
        <v>Daily</v>
      </c>
      <c r="I70" s="3" t="str">
        <f ca="1">IFERROR(__xludf.DUMMYFUNCTION("GOOGLETRANSLATE(C70,""auto"",""en"")"),"Candle / scented candles")</f>
        <v>Candle / scented candles</v>
      </c>
    </row>
    <row r="71" spans="1:9" ht="13" x14ac:dyDescent="0.15">
      <c r="A71" s="2" t="s">
        <v>9</v>
      </c>
      <c r="B71" s="2" t="s">
        <v>10</v>
      </c>
      <c r="C71" s="2" t="s">
        <v>81</v>
      </c>
      <c r="D71" s="3">
        <v>2098759</v>
      </c>
      <c r="E71" s="3">
        <v>621309</v>
      </c>
      <c r="F71" s="3">
        <v>10</v>
      </c>
      <c r="G71" s="3" t="s">
        <v>12</v>
      </c>
      <c r="H71" s="3" t="str">
        <f ca="1">IFERROR(__xludf.DUMMYFUNCTION("GOOGLETRANSLATE(B71,""auto"",""en"")"),"Daily")</f>
        <v>Daily</v>
      </c>
      <c r="I71" s="3" t="str">
        <f ca="1">IFERROR(__xludf.DUMMYFUNCTION("GOOGLETRANSLATE(C71,""auto"",""en"")"),"Household ladder")</f>
        <v>Household ladder</v>
      </c>
    </row>
    <row r="72" spans="1:9" ht="13" x14ac:dyDescent="0.15">
      <c r="A72" s="2" t="s">
        <v>9</v>
      </c>
      <c r="B72" s="2" t="s">
        <v>10</v>
      </c>
      <c r="C72" s="2" t="s">
        <v>82</v>
      </c>
      <c r="D72" s="3">
        <v>2098759</v>
      </c>
      <c r="E72" s="3">
        <v>621309</v>
      </c>
      <c r="F72" s="3">
        <v>7</v>
      </c>
      <c r="G72" s="3" t="s">
        <v>12</v>
      </c>
      <c r="H72" s="3" t="str">
        <f ca="1">IFERROR(__xludf.DUMMYFUNCTION("GOOGLETRANSLATE(B72,""auto"",""en"")"),"Daily")</f>
        <v>Daily</v>
      </c>
      <c r="I72" s="3" t="str">
        <f ca="1">IFERROR(__xludf.DUMMYFUNCTION("GOOGLETRANSLATE(C72,""auto"",""en"")"),"Shoehorn / shoes plug / shoe tree / shoe clip")</f>
        <v>Shoehorn / shoes plug / shoe tree / shoe clip</v>
      </c>
    </row>
    <row r="73" spans="1:9" ht="13" x14ac:dyDescent="0.15">
      <c r="A73" s="2" t="s">
        <v>9</v>
      </c>
      <c r="B73" s="2" t="s">
        <v>10</v>
      </c>
      <c r="C73" s="2" t="s">
        <v>83</v>
      </c>
      <c r="D73" s="3">
        <v>2098759</v>
      </c>
      <c r="E73" s="3">
        <v>621309</v>
      </c>
      <c r="F73" s="3">
        <v>3</v>
      </c>
      <c r="G73" s="3" t="s">
        <v>12</v>
      </c>
      <c r="H73" s="3" t="str">
        <f ca="1">IFERROR(__xludf.DUMMYFUNCTION("GOOGLETRANSLATE(B73,""auto"",""en"")"),"Daily")</f>
        <v>Daily</v>
      </c>
      <c r="I73" s="3" t="str">
        <f ca="1">IFERROR(__xludf.DUMMYFUNCTION("GOOGLETRANSLATE(C73,""auto"",""en"")"),"Warm table mat")</f>
        <v>Warm table mat</v>
      </c>
    </row>
    <row r="74" spans="1:9" ht="13" x14ac:dyDescent="0.15">
      <c r="A74" s="2" t="s">
        <v>9</v>
      </c>
      <c r="B74" s="2" t="s">
        <v>84</v>
      </c>
      <c r="C74" s="2" t="s">
        <v>85</v>
      </c>
      <c r="D74" s="3">
        <v>2098759</v>
      </c>
      <c r="E74" s="3">
        <v>540913</v>
      </c>
      <c r="F74" s="3">
        <v>417249</v>
      </c>
      <c r="G74" s="3" t="s">
        <v>12</v>
      </c>
      <c r="H74" s="3" t="str">
        <f ca="1">IFERROR(__xludf.DUMMYFUNCTION("GOOGLETRANSLATE(B74,""auto"",""en"")"),"Paper / wipes")</f>
        <v>Paper / wipes</v>
      </c>
      <c r="I74" s="3" t="str">
        <f ca="1">IFERROR(__xludf.DUMMYFUNCTION("GOOGLETRANSLATE(C74,""auto"",""en"")"),"Out of paper")</f>
        <v>Out of paper</v>
      </c>
    </row>
    <row r="75" spans="1:9" ht="13" x14ac:dyDescent="0.15">
      <c r="A75" s="2" t="s">
        <v>9</v>
      </c>
      <c r="B75" s="2" t="s">
        <v>84</v>
      </c>
      <c r="C75" s="2" t="s">
        <v>86</v>
      </c>
      <c r="D75" s="3">
        <v>2098759</v>
      </c>
      <c r="E75" s="3">
        <v>540913</v>
      </c>
      <c r="F75" s="3">
        <v>105063</v>
      </c>
      <c r="G75" s="3" t="s">
        <v>12</v>
      </c>
      <c r="H75" s="3" t="str">
        <f ca="1">IFERROR(__xludf.DUMMYFUNCTION("GOOGLETRANSLATE(B75,""auto"",""en"")"),"Paper / wipes")</f>
        <v>Paper / wipes</v>
      </c>
      <c r="I75" s="3" t="str">
        <f ca="1">IFERROR(__xludf.DUMMYFUNCTION("GOOGLETRANSLATE(C75,""auto"",""en"")"),"tissue paper")</f>
        <v>tissue paper</v>
      </c>
    </row>
    <row r="76" spans="1:9" ht="13" x14ac:dyDescent="0.15">
      <c r="A76" s="2" t="s">
        <v>9</v>
      </c>
      <c r="B76" s="2" t="s">
        <v>84</v>
      </c>
      <c r="C76" s="2" t="s">
        <v>87</v>
      </c>
      <c r="D76" s="3">
        <v>2098759</v>
      </c>
      <c r="E76" s="3">
        <v>540913</v>
      </c>
      <c r="F76" s="3">
        <v>12673</v>
      </c>
      <c r="G76" s="3" t="s">
        <v>12</v>
      </c>
      <c r="H76" s="3" t="str">
        <f ca="1">IFERROR(__xludf.DUMMYFUNCTION("GOOGLETRANSLATE(B76,""auto"",""en"")"),"Paper / wipes")</f>
        <v>Paper / wipes</v>
      </c>
      <c r="I76" s="3" t="str">
        <f ca="1">IFERROR(__xludf.DUMMYFUNCTION("GOOGLETRANSLATE(C76,""auto"",""en"")"),"web")</f>
        <v>web</v>
      </c>
    </row>
    <row r="77" spans="1:9" ht="13" x14ac:dyDescent="0.15">
      <c r="A77" s="2" t="s">
        <v>9</v>
      </c>
      <c r="B77" s="2" t="s">
        <v>84</v>
      </c>
      <c r="C77" s="2" t="s">
        <v>88</v>
      </c>
      <c r="D77" s="3">
        <v>2098759</v>
      </c>
      <c r="E77" s="3">
        <v>540913</v>
      </c>
      <c r="F77" s="3">
        <v>3305</v>
      </c>
      <c r="G77" s="3" t="s">
        <v>12</v>
      </c>
      <c r="H77" s="3" t="str">
        <f ca="1">IFERROR(__xludf.DUMMYFUNCTION("GOOGLETRANSLATE(B77,""auto"",""en"")"),"Paper / wipes")</f>
        <v>Paper / wipes</v>
      </c>
      <c r="I77" s="3" t="str">
        <f ca="1">IFERROR(__xludf.DUMMYFUNCTION("GOOGLETRANSLATE(C77,""auto"",""en"")"),"toilet paper")</f>
        <v>toilet paper</v>
      </c>
    </row>
    <row r="78" spans="1:9" ht="13" x14ac:dyDescent="0.15">
      <c r="A78" s="2" t="s">
        <v>9</v>
      </c>
      <c r="B78" s="2" t="s">
        <v>84</v>
      </c>
      <c r="C78" s="2" t="s">
        <v>89</v>
      </c>
      <c r="D78" s="3">
        <v>2098759</v>
      </c>
      <c r="E78" s="3">
        <v>540913</v>
      </c>
      <c r="F78" s="3">
        <v>1888</v>
      </c>
      <c r="G78" s="3" t="s">
        <v>12</v>
      </c>
      <c r="H78" s="3" t="str">
        <f ca="1">IFERROR(__xludf.DUMMYFUNCTION("GOOGLETRANSLATE(B78,""auto"",""en"")"),"Paper / wipes")</f>
        <v>Paper / wipes</v>
      </c>
      <c r="I78" s="3" t="str">
        <f ca="1">IFERROR(__xludf.DUMMYFUNCTION("GOOGLETRANSLATE(C78,""auto"",""en"")"),"Wipes")</f>
        <v>Wipes</v>
      </c>
    </row>
    <row r="79" spans="1:9" ht="13" x14ac:dyDescent="0.15">
      <c r="A79" s="2" t="s">
        <v>9</v>
      </c>
      <c r="B79" s="2" t="s">
        <v>84</v>
      </c>
      <c r="C79" s="2" t="s">
        <v>90</v>
      </c>
      <c r="D79" s="3">
        <v>2098759</v>
      </c>
      <c r="E79" s="3">
        <v>540913</v>
      </c>
      <c r="F79" s="3">
        <v>451</v>
      </c>
      <c r="G79" s="3" t="s">
        <v>12</v>
      </c>
      <c r="H79" s="3" t="str">
        <f ca="1">IFERROR(__xludf.DUMMYFUNCTION("GOOGLETRANSLATE(B79,""auto"",""en"")"),"Paper / wipes")</f>
        <v>Paper / wipes</v>
      </c>
      <c r="I79" s="3" t="str">
        <f ca="1">IFERROR(__xludf.DUMMYFUNCTION("GOOGLETRANSLATE(C79,""auto"",""en"")"),"Household oil sticker")</f>
        <v>Household oil sticker</v>
      </c>
    </row>
    <row r="80" spans="1:9" ht="13" x14ac:dyDescent="0.15">
      <c r="A80" s="2" t="s">
        <v>9</v>
      </c>
      <c r="B80" s="2" t="s">
        <v>84</v>
      </c>
      <c r="C80" s="2" t="s">
        <v>91</v>
      </c>
      <c r="D80" s="3">
        <v>2098759</v>
      </c>
      <c r="E80" s="3">
        <v>540913</v>
      </c>
      <c r="F80" s="3">
        <v>137</v>
      </c>
      <c r="G80" s="3" t="s">
        <v>12</v>
      </c>
      <c r="H80" s="3" t="str">
        <f ca="1">IFERROR(__xludf.DUMMYFUNCTION("GOOGLETRANSLATE(B80,""auto"",""en"")"),"Paper / wipes")</f>
        <v>Paper / wipes</v>
      </c>
      <c r="I80" s="3" t="str">
        <f ca="1">IFERROR(__xludf.DUMMYFUNCTION("GOOGLETRANSLATE(C80,""auto"",""en"")"),"Kitchen towel")</f>
        <v>Kitchen towel</v>
      </c>
    </row>
    <row r="81" spans="1:9" ht="13" x14ac:dyDescent="0.15">
      <c r="A81" s="2" t="s">
        <v>9</v>
      </c>
      <c r="B81" s="2" t="s">
        <v>84</v>
      </c>
      <c r="C81" s="2" t="s">
        <v>92</v>
      </c>
      <c r="D81" s="3">
        <v>2098759</v>
      </c>
      <c r="E81" s="3">
        <v>540913</v>
      </c>
      <c r="F81" s="3">
        <v>117</v>
      </c>
      <c r="G81" s="3" t="s">
        <v>12</v>
      </c>
      <c r="H81" s="3" t="str">
        <f ca="1">IFERROR(__xludf.DUMMYFUNCTION("GOOGLETRANSLATE(B81,""auto"",""en"")"),"Paper / wipes")</f>
        <v>Paper / wipes</v>
      </c>
      <c r="I81" s="3" t="str">
        <f ca="1">IFERROR(__xludf.DUMMYFUNCTION("GOOGLETRANSLATE(C81,""auto"",""en"")"),"other")</f>
        <v>other</v>
      </c>
    </row>
    <row r="82" spans="1:9" ht="13" x14ac:dyDescent="0.15">
      <c r="A82" s="2" t="s">
        <v>9</v>
      </c>
      <c r="B82" s="2" t="s">
        <v>84</v>
      </c>
      <c r="C82" s="2" t="s">
        <v>93</v>
      </c>
      <c r="D82" s="3">
        <v>2098759</v>
      </c>
      <c r="E82" s="3">
        <v>540913</v>
      </c>
      <c r="F82" s="3">
        <v>32</v>
      </c>
      <c r="G82" s="3" t="s">
        <v>12</v>
      </c>
      <c r="H82" s="3" t="str">
        <f ca="1">IFERROR(__xludf.DUMMYFUNCTION("GOOGLETRANSLATE(B82,""auto"",""en"")"),"Paper / wipes")</f>
        <v>Paper / wipes</v>
      </c>
      <c r="I82" s="3" t="str">
        <f ca="1">IFERROR(__xludf.DUMMYFUNCTION("GOOGLETRANSLATE(C82,""auto"",""en"")"),"Tablet toilet paper")</f>
        <v>Tablet toilet paper</v>
      </c>
    </row>
    <row r="83" spans="1:9" ht="13" x14ac:dyDescent="0.15">
      <c r="A83" s="2" t="s">
        <v>9</v>
      </c>
      <c r="B83" s="2" t="s">
        <v>84</v>
      </c>
      <c r="C83" s="2" t="s">
        <v>94</v>
      </c>
      <c r="D83" s="3">
        <v>2098759</v>
      </c>
      <c r="E83" s="3">
        <v>540913</v>
      </c>
      <c r="F83" s="3">
        <v>1</v>
      </c>
      <c r="G83" s="3" t="s">
        <v>12</v>
      </c>
      <c r="H83" s="3" t="str">
        <f ca="1">IFERROR(__xludf.DUMMYFUNCTION("GOOGLETRANSLATE(B83,""auto"",""en"")"),"Paper / wipes")</f>
        <v>Paper / wipes</v>
      </c>
      <c r="I83" s="3" t="str">
        <f ca="1">IFERROR(__xludf.DUMMYFUNCTION("GOOGLETRANSLATE(C83,""auto"",""en"")"),"Absorbing paper / film")</f>
        <v>Absorbing paper / film</v>
      </c>
    </row>
    <row r="84" spans="1:9" ht="13" x14ac:dyDescent="0.15">
      <c r="A84" s="2" t="s">
        <v>9</v>
      </c>
      <c r="B84" s="2" t="s">
        <v>95</v>
      </c>
      <c r="C84" s="2" t="s">
        <v>96</v>
      </c>
      <c r="D84" s="3">
        <v>2098759</v>
      </c>
      <c r="E84" s="3">
        <v>459070</v>
      </c>
      <c r="F84" s="3">
        <v>239487</v>
      </c>
      <c r="G84" s="3" t="s">
        <v>12</v>
      </c>
      <c r="H84" s="3" t="str">
        <f ca="1">IFERROR(__xludf.DUMMYFUNCTION("GOOGLETRANSLATE(B84,""auto"",""en"")"),"Storage / finishing / drying")</f>
        <v>Storage / finishing / drying</v>
      </c>
      <c r="I84" s="3" t="str">
        <f ca="1">IFERROR(__xludf.DUMMYFUNCTION("GOOGLETRANSLATE(C84,""auto"",""en"")"),"hanger")</f>
        <v>hanger</v>
      </c>
    </row>
    <row r="85" spans="1:9" ht="13" x14ac:dyDescent="0.15">
      <c r="A85" s="2" t="s">
        <v>9</v>
      </c>
      <c r="B85" s="2" t="s">
        <v>95</v>
      </c>
      <c r="C85" s="2" t="s">
        <v>97</v>
      </c>
      <c r="D85" s="3">
        <v>2098759</v>
      </c>
      <c r="E85" s="3">
        <v>459070</v>
      </c>
      <c r="F85" s="3">
        <v>94798</v>
      </c>
      <c r="G85" s="3" t="s">
        <v>12</v>
      </c>
      <c r="H85" s="3" t="str">
        <f ca="1">IFERROR(__xludf.DUMMYFUNCTION("GOOGLETRANSLATE(B85,""auto"",""en"")"),"Storage / finishing / drying")</f>
        <v>Storage / finishing / drying</v>
      </c>
      <c r="I85" s="3" t="str">
        <f ca="1">IFERROR(__xludf.DUMMYFUNCTION("GOOGLETRANSLATE(C85,""auto"",""en"")"),"Storage Box")</f>
        <v>Storage Box</v>
      </c>
    </row>
    <row r="86" spans="1:9" ht="13" x14ac:dyDescent="0.15">
      <c r="A86" s="2" t="s">
        <v>9</v>
      </c>
      <c r="B86" s="2" t="s">
        <v>95</v>
      </c>
      <c r="C86" s="2" t="s">
        <v>98</v>
      </c>
      <c r="D86" s="3">
        <v>2098759</v>
      </c>
      <c r="E86" s="3">
        <v>459070</v>
      </c>
      <c r="F86" s="3">
        <v>31507</v>
      </c>
      <c r="G86" s="3" t="s">
        <v>12</v>
      </c>
      <c r="H86" s="3" t="str">
        <f ca="1">IFERROR(__xludf.DUMMYFUNCTION("GOOGLETRANSLATE(B86,""auto"",""en"")"),"Storage / finishing / drying")</f>
        <v>Storage / finishing / drying</v>
      </c>
      <c r="I86" s="3" t="str">
        <f ca="1">IFERROR(__xludf.DUMMYFUNCTION("GOOGLETRANSLATE(C86,""auto"",""en"")"),"storage box")</f>
        <v>storage box</v>
      </c>
    </row>
    <row r="87" spans="1:9" ht="13" x14ac:dyDescent="0.15">
      <c r="A87" s="2" t="s">
        <v>9</v>
      </c>
      <c r="B87" s="2" t="s">
        <v>95</v>
      </c>
      <c r="C87" s="2" t="s">
        <v>99</v>
      </c>
      <c r="D87" s="3">
        <v>2098759</v>
      </c>
      <c r="E87" s="3">
        <v>459070</v>
      </c>
      <c r="F87" s="3">
        <v>26890</v>
      </c>
      <c r="G87" s="3" t="s">
        <v>12</v>
      </c>
      <c r="H87" s="3" t="str">
        <f ca="1">IFERROR(__xludf.DUMMYFUNCTION("GOOGLETRANSLATE(B87,""auto"",""en"")"),"Storage / finishing / drying")</f>
        <v>Storage / finishing / drying</v>
      </c>
      <c r="I87" s="3" t="str">
        <f ca="1">IFERROR(__xludf.DUMMYFUNCTION("GOOGLETRANSLATE(C87,""auto"",""en"")"),"Clotheshorse")</f>
        <v>Clotheshorse</v>
      </c>
    </row>
    <row r="88" spans="1:9" ht="13" x14ac:dyDescent="0.15">
      <c r="A88" s="2" t="s">
        <v>9</v>
      </c>
      <c r="B88" s="2" t="s">
        <v>95</v>
      </c>
      <c r="C88" s="2" t="s">
        <v>100</v>
      </c>
      <c r="D88" s="3">
        <v>2098759</v>
      </c>
      <c r="E88" s="3">
        <v>459070</v>
      </c>
      <c r="F88" s="3">
        <v>24837</v>
      </c>
      <c r="G88" s="3" t="s">
        <v>12</v>
      </c>
      <c r="H88" s="3" t="str">
        <f ca="1">IFERROR(__xludf.DUMMYFUNCTION("GOOGLETRANSLATE(B88,""auto"",""en"")"),"Storage / finishing / drying")</f>
        <v>Storage / finishing / drying</v>
      </c>
      <c r="I88" s="3" t="str">
        <f ca="1">IFERROR(__xludf.DUMMYFUNCTION("GOOGLETRANSLATE(C88,""auto"",""en"")"),"Pouch")</f>
        <v>Pouch</v>
      </c>
    </row>
    <row r="89" spans="1:9" ht="13" x14ac:dyDescent="0.15">
      <c r="A89" s="2" t="s">
        <v>9</v>
      </c>
      <c r="B89" s="2" t="s">
        <v>95</v>
      </c>
      <c r="C89" s="2" t="s">
        <v>101</v>
      </c>
      <c r="D89" s="3">
        <v>2098759</v>
      </c>
      <c r="E89" s="3">
        <v>459070</v>
      </c>
      <c r="F89" s="3">
        <v>9504</v>
      </c>
      <c r="G89" s="3" t="s">
        <v>12</v>
      </c>
      <c r="H89" s="3" t="str">
        <f ca="1">IFERROR(__xludf.DUMMYFUNCTION("GOOGLETRANSLATE(B89,""auto"",""en"")"),"Storage / finishing / drying")</f>
        <v>Storage / finishing / drying</v>
      </c>
      <c r="I89" s="3" t="str">
        <f ca="1">IFERROR(__xludf.DUMMYFUNCTION("GOOGLETRANSLATE(C89,""auto"",""en"")"),"Storage Box")</f>
        <v>Storage Box</v>
      </c>
    </row>
    <row r="90" spans="1:9" ht="13" x14ac:dyDescent="0.15">
      <c r="A90" s="2" t="s">
        <v>9</v>
      </c>
      <c r="B90" s="2" t="s">
        <v>95</v>
      </c>
      <c r="C90" s="2" t="s">
        <v>102</v>
      </c>
      <c r="D90" s="3">
        <v>2098759</v>
      </c>
      <c r="E90" s="3">
        <v>459070</v>
      </c>
      <c r="F90" s="3">
        <v>6278</v>
      </c>
      <c r="G90" s="3" t="s">
        <v>12</v>
      </c>
      <c r="H90" s="3" t="str">
        <f ca="1">IFERROR(__xludf.DUMMYFUNCTION("GOOGLETRANSLATE(B90,""auto"",""en"")"),"Storage / finishing / drying")</f>
        <v>Storage / finishing / drying</v>
      </c>
      <c r="I90" s="3" t="str">
        <f ca="1">IFERROR(__xludf.DUMMYFUNCTION("GOOGLETRANSLATE(C90,""auto"",""en"")"),"Storage basket")</f>
        <v>Storage basket</v>
      </c>
    </row>
    <row r="91" spans="1:9" ht="13" x14ac:dyDescent="0.15">
      <c r="A91" s="2" t="s">
        <v>9</v>
      </c>
      <c r="B91" s="2" t="s">
        <v>95</v>
      </c>
      <c r="C91" s="2" t="s">
        <v>103</v>
      </c>
      <c r="D91" s="3">
        <v>2098759</v>
      </c>
      <c r="E91" s="3">
        <v>459070</v>
      </c>
      <c r="F91" s="3">
        <v>5638</v>
      </c>
      <c r="G91" s="3" t="s">
        <v>12</v>
      </c>
      <c r="H91" s="3" t="str">
        <f ca="1">IFERROR(__xludf.DUMMYFUNCTION("GOOGLETRANSLATE(B91,""auto"",""en"")"),"Storage / finishing / drying")</f>
        <v>Storage / finishing / drying</v>
      </c>
      <c r="I91" s="3" t="str">
        <f ca="1">IFERROR(__xludf.DUMMYFUNCTION("GOOGLETRANSLATE(C91,""auto"",""en"")"),"Hook / sticky hook")</f>
        <v>Hook / sticky hook</v>
      </c>
    </row>
    <row r="92" spans="1:9" ht="13" x14ac:dyDescent="0.15">
      <c r="A92" s="2" t="s">
        <v>9</v>
      </c>
      <c r="B92" s="2" t="s">
        <v>95</v>
      </c>
      <c r="C92" s="2" t="s">
        <v>104</v>
      </c>
      <c r="D92" s="3">
        <v>2098759</v>
      </c>
      <c r="E92" s="3">
        <v>459070</v>
      </c>
      <c r="F92" s="3">
        <v>3944</v>
      </c>
      <c r="G92" s="3" t="s">
        <v>12</v>
      </c>
      <c r="H92" s="3" t="str">
        <f ca="1">IFERROR(__xludf.DUMMYFUNCTION("GOOGLETRANSLATE(B92,""auto"",""en"")"),"Storage / finishing / drying")</f>
        <v>Storage / finishing / drying</v>
      </c>
      <c r="I92" s="3" t="str">
        <f ca="1">IFERROR(__xludf.DUMMYFUNCTION("GOOGLETRANSLATE(C92,""auto"",""en"")"),"Finishing rack / shelving / storage rack")</f>
        <v>Finishing rack / shelving / storage rack</v>
      </c>
    </row>
    <row r="93" spans="1:9" ht="13" x14ac:dyDescent="0.15">
      <c r="A93" s="2" t="s">
        <v>9</v>
      </c>
      <c r="B93" s="2" t="s">
        <v>95</v>
      </c>
      <c r="C93" s="2" t="s">
        <v>105</v>
      </c>
      <c r="D93" s="3">
        <v>2098759</v>
      </c>
      <c r="E93" s="3">
        <v>459070</v>
      </c>
      <c r="F93" s="3">
        <v>3014</v>
      </c>
      <c r="G93" s="3" t="s">
        <v>12</v>
      </c>
      <c r="H93" s="3" t="str">
        <f ca="1">IFERROR(__xludf.DUMMYFUNCTION("GOOGLETRANSLATE(B93,""auto"",""en"")"),"Storage / finishing / drying")</f>
        <v>Storage / finishing / drying</v>
      </c>
      <c r="I93" s="3" t="str">
        <f ca="1">IFERROR(__xludf.DUMMYFUNCTION("GOOGLETRANSLATE(C93,""auto"",""en"")"),"Storage rack")</f>
        <v>Storage rack</v>
      </c>
    </row>
    <row r="94" spans="1:9" ht="13" x14ac:dyDescent="0.15">
      <c r="A94" s="2" t="s">
        <v>9</v>
      </c>
      <c r="B94" s="2" t="s">
        <v>95</v>
      </c>
      <c r="C94" s="2" t="s">
        <v>106</v>
      </c>
      <c r="D94" s="3">
        <v>2098759</v>
      </c>
      <c r="E94" s="3">
        <v>459070</v>
      </c>
      <c r="F94" s="3">
        <v>2573</v>
      </c>
      <c r="G94" s="3" t="s">
        <v>12</v>
      </c>
      <c r="H94" s="3" t="str">
        <f ca="1">IFERROR(__xludf.DUMMYFUNCTION("GOOGLETRANSLATE(B94,""auto"",""en"")"),"Storage / finishing / drying")</f>
        <v>Storage / finishing / drying</v>
      </c>
      <c r="I94" s="3" t="str">
        <f ca="1">IFERROR(__xludf.DUMMYFUNCTION("GOOGLETRANSLATE(C94,""auto"",""en"")"),"Pants rack")</f>
        <v>Pants rack</v>
      </c>
    </row>
    <row r="95" spans="1:9" ht="13" x14ac:dyDescent="0.15">
      <c r="A95" s="2" t="s">
        <v>9</v>
      </c>
      <c r="B95" s="2" t="s">
        <v>95</v>
      </c>
      <c r="C95" s="2" t="s">
        <v>107</v>
      </c>
      <c r="D95" s="3">
        <v>2098759</v>
      </c>
      <c r="E95" s="3">
        <v>459070</v>
      </c>
      <c r="F95" s="3">
        <v>1903</v>
      </c>
      <c r="G95" s="3" t="s">
        <v>12</v>
      </c>
      <c r="H95" s="3" t="str">
        <f ca="1">IFERROR(__xludf.DUMMYFUNCTION("GOOGLETRANSLATE(B95,""auto"",""en"")"),"Storage / finishing / drying")</f>
        <v>Storage / finishing / drying</v>
      </c>
      <c r="I95" s="3" t="str">
        <f ca="1">IFERROR(__xludf.DUMMYFUNCTION("GOOGLETRANSLATE(C95,""auto"",""en"")"),"The clip / housing clip")</f>
        <v>The clip / housing clip</v>
      </c>
    </row>
    <row r="96" spans="1:9" ht="13" x14ac:dyDescent="0.15">
      <c r="A96" s="2" t="s">
        <v>9</v>
      </c>
      <c r="B96" s="2" t="s">
        <v>95</v>
      </c>
      <c r="C96" s="2" t="s">
        <v>108</v>
      </c>
      <c r="D96" s="3">
        <v>2098759</v>
      </c>
      <c r="E96" s="3">
        <v>459070</v>
      </c>
      <c r="F96" s="3">
        <v>1617</v>
      </c>
      <c r="G96" s="3" t="s">
        <v>12</v>
      </c>
      <c r="H96" s="3" t="str">
        <f ca="1">IFERROR(__xludf.DUMMYFUNCTION("GOOGLETRANSLATE(B96,""auto"",""en"")"),"Storage / finishing / drying")</f>
        <v>Storage / finishing / drying</v>
      </c>
      <c r="I96" s="3" t="str">
        <f ca="1">IFERROR(__xludf.DUMMYFUNCTION("GOOGLETRANSLATE(C96,""auto"",""en"")"),"Admission package")</f>
        <v>Admission package</v>
      </c>
    </row>
    <row r="97" spans="1:9" ht="13" x14ac:dyDescent="0.15">
      <c r="A97" s="2" t="s">
        <v>9</v>
      </c>
      <c r="B97" s="2" t="s">
        <v>95</v>
      </c>
      <c r="C97" s="2" t="s">
        <v>109</v>
      </c>
      <c r="D97" s="3">
        <v>2098759</v>
      </c>
      <c r="E97" s="3">
        <v>459070</v>
      </c>
      <c r="F97" s="3">
        <v>1409</v>
      </c>
      <c r="G97" s="3" t="s">
        <v>12</v>
      </c>
      <c r="H97" s="3" t="str">
        <f ca="1">IFERROR(__xludf.DUMMYFUNCTION("GOOGLETRANSLATE(B97,""auto"",""en"")"),"Storage / finishing / drying")</f>
        <v>Storage / finishing / drying</v>
      </c>
      <c r="I97" s="3" t="str">
        <f ca="1">IFERROR(__xludf.DUMMYFUNCTION("GOOGLETRANSLATE(C97,""auto"",""en"")"),"Lint Remover")</f>
        <v>Lint Remover</v>
      </c>
    </row>
    <row r="98" spans="1:9" ht="13" x14ac:dyDescent="0.15">
      <c r="A98" s="2" t="s">
        <v>9</v>
      </c>
      <c r="B98" s="2" t="s">
        <v>95</v>
      </c>
      <c r="C98" s="2" t="s">
        <v>110</v>
      </c>
      <c r="D98" s="3">
        <v>2098759</v>
      </c>
      <c r="E98" s="3">
        <v>459070</v>
      </c>
      <c r="F98" s="3">
        <v>997</v>
      </c>
      <c r="G98" s="3" t="s">
        <v>12</v>
      </c>
      <c r="H98" s="3" t="str">
        <f ca="1">IFERROR(__xludf.DUMMYFUNCTION("GOOGLETRANSLATE(B98,""auto"",""en"")"),"Storage / finishing / drying")</f>
        <v>Storage / finishing / drying</v>
      </c>
      <c r="I98" s="3" t="str">
        <f ca="1">IFERROR(__xludf.DUMMYFUNCTION("GOOGLETRANSLATE(C98,""auto"",""en"")"),"Landmark lift drying racks")</f>
        <v>Landmark lift drying racks</v>
      </c>
    </row>
    <row r="99" spans="1:9" ht="13" x14ac:dyDescent="0.15">
      <c r="A99" s="2" t="s">
        <v>9</v>
      </c>
      <c r="B99" s="2" t="s">
        <v>95</v>
      </c>
      <c r="C99" s="2" t="s">
        <v>111</v>
      </c>
      <c r="D99" s="3">
        <v>2098759</v>
      </c>
      <c r="E99" s="3">
        <v>459070</v>
      </c>
      <c r="F99" s="3">
        <v>947</v>
      </c>
      <c r="G99" s="3" t="s">
        <v>12</v>
      </c>
      <c r="H99" s="3" t="str">
        <f ca="1">IFERROR(__xludf.DUMMYFUNCTION("GOOGLETRANSLATE(B99,""auto"",""en"")"),"Storage / finishing / drying")</f>
        <v>Storage / finishing / drying</v>
      </c>
      <c r="I99" s="3" t="str">
        <f ca="1">IFERROR(__xludf.DUMMYFUNCTION("GOOGLETRANSLATE(C99,""auto"",""en"")"),"Medicine chest")</f>
        <v>Medicine chest</v>
      </c>
    </row>
    <row r="100" spans="1:9" ht="13" x14ac:dyDescent="0.15">
      <c r="A100" s="2" t="s">
        <v>9</v>
      </c>
      <c r="B100" s="2" t="s">
        <v>95</v>
      </c>
      <c r="C100" s="2" t="s">
        <v>112</v>
      </c>
      <c r="D100" s="3">
        <v>2098759</v>
      </c>
      <c r="E100" s="3">
        <v>459070</v>
      </c>
      <c r="F100" s="3">
        <v>607</v>
      </c>
      <c r="G100" s="3" t="s">
        <v>12</v>
      </c>
      <c r="H100" s="3" t="str">
        <f ca="1">IFERROR(__xludf.DUMMYFUNCTION("GOOGLETRANSLATE(B100,""auto"",""en"")"),"Storage / finishing / drying")</f>
        <v>Storage / finishing / drying</v>
      </c>
      <c r="I100" s="3" t="str">
        <f ca="1">IFERROR(__xludf.DUMMYFUNCTION("GOOGLETRANSLATE(C100,""auto"",""en"")"),"Care wash bags")</f>
        <v>Care wash bags</v>
      </c>
    </row>
    <row r="101" spans="1:9" ht="13" x14ac:dyDescent="0.15">
      <c r="A101" s="2" t="s">
        <v>9</v>
      </c>
      <c r="B101" s="2" t="s">
        <v>95</v>
      </c>
      <c r="C101" s="2" t="s">
        <v>113</v>
      </c>
      <c r="D101" s="3">
        <v>2098759</v>
      </c>
      <c r="E101" s="3">
        <v>459070</v>
      </c>
      <c r="F101" s="3">
        <v>607</v>
      </c>
      <c r="G101" s="3" t="s">
        <v>12</v>
      </c>
      <c r="H101" s="3" t="str">
        <f ca="1">IFERROR(__xludf.DUMMYFUNCTION("GOOGLETRANSLATE(B101,""auto"",""en"")"),"Storage / finishing / drying")</f>
        <v>Storage / finishing / drying</v>
      </c>
      <c r="I101" s="3" t="str">
        <f ca="1">IFERROR(__xludf.DUMMYFUNCTION("GOOGLETRANSLATE(C101,""auto"",""en"")"),"Coat Rack")</f>
        <v>Coat Rack</v>
      </c>
    </row>
    <row r="102" spans="1:9" ht="13" x14ac:dyDescent="0.15">
      <c r="A102" s="2" t="s">
        <v>9</v>
      </c>
      <c r="B102" s="2" t="s">
        <v>95</v>
      </c>
      <c r="C102" s="2" t="s">
        <v>114</v>
      </c>
      <c r="D102" s="3">
        <v>2098759</v>
      </c>
      <c r="E102" s="3">
        <v>459070</v>
      </c>
      <c r="F102" s="3">
        <v>388</v>
      </c>
      <c r="G102" s="3" t="s">
        <v>12</v>
      </c>
      <c r="H102" s="3" t="str">
        <f ca="1">IFERROR(__xludf.DUMMYFUNCTION("GOOGLETRANSLATE(B102,""auto"",""en"")"),"Storage / finishing / drying")</f>
        <v>Storage / finishing / drying</v>
      </c>
      <c r="I102" s="3" t="str">
        <f ca="1">IFERROR(__xludf.DUMMYFUNCTION("GOOGLETRANSLATE(C102,""auto"",""en"")"),"Stool")</f>
        <v>Stool</v>
      </c>
    </row>
    <row r="103" spans="1:9" ht="13" x14ac:dyDescent="0.15">
      <c r="A103" s="2" t="s">
        <v>9</v>
      </c>
      <c r="B103" s="2" t="s">
        <v>95</v>
      </c>
      <c r="C103" s="2" t="s">
        <v>115</v>
      </c>
      <c r="D103" s="3">
        <v>2098759</v>
      </c>
      <c r="E103" s="3">
        <v>459070</v>
      </c>
      <c r="F103" s="3">
        <v>386</v>
      </c>
      <c r="G103" s="3" t="s">
        <v>12</v>
      </c>
      <c r="H103" s="3" t="str">
        <f ca="1">IFERROR(__xludf.DUMMYFUNCTION("GOOGLETRANSLATE(B103,""auto"",""en"")"),"Storage / finishing / drying")</f>
        <v>Storage / finishing / drying</v>
      </c>
      <c r="I103" s="3" t="str">
        <f ca="1">IFERROR(__xludf.DUMMYFUNCTION("GOOGLETRANSLATE(C103,""auto"",""en"")"),"Drying clothes basket")</f>
        <v>Drying clothes basket</v>
      </c>
    </row>
    <row r="104" spans="1:9" ht="13" x14ac:dyDescent="0.15">
      <c r="A104" s="2" t="s">
        <v>9</v>
      </c>
      <c r="B104" s="2" t="s">
        <v>95</v>
      </c>
      <c r="C104" s="2" t="s">
        <v>116</v>
      </c>
      <c r="D104" s="3">
        <v>2098759</v>
      </c>
      <c r="E104" s="3">
        <v>459070</v>
      </c>
      <c r="F104" s="3">
        <v>345</v>
      </c>
      <c r="G104" s="3" t="s">
        <v>12</v>
      </c>
      <c r="H104" s="3" t="str">
        <f ca="1">IFERROR(__xludf.DUMMYFUNCTION("GOOGLETRANSLATE(B104,""auto"",""en"")"),"Storage / finishing / drying")</f>
        <v>Storage / finishing / drying</v>
      </c>
      <c r="I104" s="3" t="str">
        <f ca="1">IFERROR(__xludf.DUMMYFUNCTION("GOOGLETRANSLATE(C104,""auto"",""en"")"),"Storage sets")</f>
        <v>Storage sets</v>
      </c>
    </row>
    <row r="105" spans="1:9" ht="13" x14ac:dyDescent="0.15">
      <c r="A105" s="2" t="s">
        <v>9</v>
      </c>
      <c r="B105" s="2" t="s">
        <v>95</v>
      </c>
      <c r="C105" s="2" t="s">
        <v>117</v>
      </c>
      <c r="D105" s="3">
        <v>2098759</v>
      </c>
      <c r="E105" s="3">
        <v>459070</v>
      </c>
      <c r="F105" s="3">
        <v>337</v>
      </c>
      <c r="G105" s="3" t="s">
        <v>12</v>
      </c>
      <c r="H105" s="3" t="str">
        <f ca="1">IFERROR(__xludf.DUMMYFUNCTION("GOOGLETRANSLATE(B105,""auto"",""en"")"),"Storage / finishing / drying")</f>
        <v>Storage / finishing / drying</v>
      </c>
      <c r="I105" s="3" t="str">
        <f ca="1">IFERROR(__xludf.DUMMYFUNCTION("GOOGLETRANSLATE(C105,""auto"",""en"")"),"Storage tank")</f>
        <v>Storage tank</v>
      </c>
    </row>
    <row r="106" spans="1:9" ht="13" x14ac:dyDescent="0.15">
      <c r="A106" s="2" t="s">
        <v>9</v>
      </c>
      <c r="B106" s="2" t="s">
        <v>95</v>
      </c>
      <c r="C106" s="2" t="s">
        <v>118</v>
      </c>
      <c r="D106" s="3">
        <v>2098759</v>
      </c>
      <c r="E106" s="3">
        <v>459070</v>
      </c>
      <c r="F106" s="3">
        <v>239</v>
      </c>
      <c r="G106" s="3" t="s">
        <v>12</v>
      </c>
      <c r="H106" s="3" t="str">
        <f ca="1">IFERROR(__xludf.DUMMYFUNCTION("GOOGLETRANSLATE(B106,""auto"",""en"")"),"Storage / finishing / drying")</f>
        <v>Storage / finishing / drying</v>
      </c>
      <c r="I106" s="3" t="str">
        <f ca="1">IFERROR(__xludf.DUMMYFUNCTION("GOOGLETRANSLATE(C106,""auto"",""en"")"),"Storage barrels")</f>
        <v>Storage barrels</v>
      </c>
    </row>
    <row r="107" spans="1:9" ht="13" x14ac:dyDescent="0.15">
      <c r="A107" s="2" t="s">
        <v>9</v>
      </c>
      <c r="B107" s="2" t="s">
        <v>95</v>
      </c>
      <c r="C107" s="2" t="s">
        <v>119</v>
      </c>
      <c r="D107" s="3">
        <v>2098759</v>
      </c>
      <c r="E107" s="3">
        <v>459070</v>
      </c>
      <c r="F107" s="3">
        <v>187</v>
      </c>
      <c r="G107" s="3" t="s">
        <v>12</v>
      </c>
      <c r="H107" s="3" t="str">
        <f ca="1">IFERROR(__xludf.DUMMYFUNCTION("GOOGLETRANSLATE(B107,""auto"",""en"")"),"Storage / finishing / drying")</f>
        <v>Storage / finishing / drying</v>
      </c>
      <c r="I107" s="3" t="str">
        <f ca="1">IFERROR(__xludf.DUMMYFUNCTION("GOOGLETRANSLATE(C107,""auto"",""en"")"),"Clothing dust roll / sticky hair roll")</f>
        <v>Clothing dust roll / sticky hair roll</v>
      </c>
    </row>
    <row r="108" spans="1:9" ht="13" x14ac:dyDescent="0.15">
      <c r="A108" s="2" t="s">
        <v>9</v>
      </c>
      <c r="B108" s="2" t="s">
        <v>95</v>
      </c>
      <c r="C108" s="2" t="s">
        <v>120</v>
      </c>
      <c r="D108" s="3">
        <v>2098759</v>
      </c>
      <c r="E108" s="3">
        <v>459070</v>
      </c>
      <c r="F108" s="3">
        <v>171</v>
      </c>
      <c r="G108" s="3" t="s">
        <v>12</v>
      </c>
      <c r="H108" s="3" t="str">
        <f ca="1">IFERROR(__xludf.DUMMYFUNCTION("GOOGLETRANSLATE(B108,""auto"",""en"")"),"Storage / finishing / drying")</f>
        <v>Storage / finishing / drying</v>
      </c>
      <c r="I108" s="3" t="str">
        <f ca="1">IFERROR(__xludf.DUMMYFUNCTION("GOOGLETRANSLATE(C108,""auto"",""en"")"),"rope")</f>
        <v>rope</v>
      </c>
    </row>
    <row r="109" spans="1:9" ht="13" x14ac:dyDescent="0.15">
      <c r="A109" s="2" t="s">
        <v>9</v>
      </c>
      <c r="B109" s="2" t="s">
        <v>95</v>
      </c>
      <c r="C109" s="2" t="s">
        <v>121</v>
      </c>
      <c r="D109" s="3">
        <v>2098759</v>
      </c>
      <c r="E109" s="3">
        <v>459070</v>
      </c>
      <c r="F109" s="3">
        <v>96</v>
      </c>
      <c r="G109" s="3" t="s">
        <v>12</v>
      </c>
      <c r="H109" s="3" t="str">
        <f ca="1">IFERROR(__xludf.DUMMYFUNCTION("GOOGLETRANSLATE(B109,""auto"",""en"")"),"Storage / finishing / drying")</f>
        <v>Storage / finishing / drying</v>
      </c>
      <c r="I109" s="3" t="str">
        <f ca="1">IFERROR(__xludf.DUMMYFUNCTION("GOOGLETRANSLATE(C109,""auto"",""en"")"),"Washing Pole")</f>
        <v>Washing Pole</v>
      </c>
    </row>
    <row r="110" spans="1:9" ht="13" x14ac:dyDescent="0.15">
      <c r="A110" s="2" t="s">
        <v>9</v>
      </c>
      <c r="B110" s="2" t="s">
        <v>95</v>
      </c>
      <c r="C110" s="2" t="s">
        <v>122</v>
      </c>
      <c r="D110" s="3">
        <v>2098759</v>
      </c>
      <c r="E110" s="3">
        <v>459070</v>
      </c>
      <c r="F110" s="3">
        <v>93</v>
      </c>
      <c r="G110" s="3" t="s">
        <v>12</v>
      </c>
      <c r="H110" s="3" t="str">
        <f ca="1">IFERROR(__xludf.DUMMYFUNCTION("GOOGLETRANSLATE(B110,""auto"",""en"")"),"Storage / finishing / drying")</f>
        <v>Storage / finishing / drying</v>
      </c>
      <c r="I110" s="3" t="str">
        <f ca="1">IFERROR(__xludf.DUMMYFUNCTION("GOOGLETRANSLATE(C110,""auto"",""en"")"),"Washboard")</f>
        <v>Washboard</v>
      </c>
    </row>
    <row r="111" spans="1:9" ht="13" x14ac:dyDescent="0.15">
      <c r="A111" s="2" t="s">
        <v>9</v>
      </c>
      <c r="B111" s="2" t="s">
        <v>95</v>
      </c>
      <c r="C111" s="2" t="s">
        <v>123</v>
      </c>
      <c r="D111" s="3">
        <v>2098759</v>
      </c>
      <c r="E111" s="3">
        <v>459070</v>
      </c>
      <c r="F111" s="3">
        <v>49</v>
      </c>
      <c r="G111" s="3" t="s">
        <v>12</v>
      </c>
      <c r="H111" s="3" t="str">
        <f ca="1">IFERROR(__xludf.DUMMYFUNCTION("GOOGLETRANSLATE(B111,""auto"",""en"")"),"Storage / finishing / drying")</f>
        <v>Storage / finishing / drying</v>
      </c>
      <c r="I111" s="3" t="str">
        <f ca="1">IFERROR(__xludf.DUMMYFUNCTION("GOOGLETRANSLATE(C111,""auto"",""en"")"),"Table mats")</f>
        <v>Table mats</v>
      </c>
    </row>
    <row r="112" spans="1:9" ht="13" x14ac:dyDescent="0.15">
      <c r="A112" s="2" t="s">
        <v>9</v>
      </c>
      <c r="B112" s="2" t="s">
        <v>95</v>
      </c>
      <c r="C112" s="2" t="s">
        <v>124</v>
      </c>
      <c r="D112" s="3">
        <v>2098759</v>
      </c>
      <c r="E112" s="3">
        <v>459070</v>
      </c>
      <c r="F112" s="3">
        <v>46</v>
      </c>
      <c r="G112" s="3" t="s">
        <v>12</v>
      </c>
      <c r="H112" s="3" t="str">
        <f ca="1">IFERROR(__xludf.DUMMYFUNCTION("GOOGLETRANSLATE(B112,""auto"",""en"")"),"Storage / finishing / drying")</f>
        <v>Storage / finishing / drying</v>
      </c>
      <c r="I112" s="3" t="str">
        <f ca="1">IFERROR(__xludf.DUMMYFUNCTION("GOOGLETRANSLATE(C112,""auto"",""en"")"),"Finishing partition")</f>
        <v>Finishing partition</v>
      </c>
    </row>
    <row r="113" spans="1:9" ht="13" x14ac:dyDescent="0.15">
      <c r="A113" s="2" t="s">
        <v>9</v>
      </c>
      <c r="B113" s="2" t="s">
        <v>95</v>
      </c>
      <c r="C113" s="2" t="s">
        <v>125</v>
      </c>
      <c r="D113" s="3">
        <v>2098759</v>
      </c>
      <c r="E113" s="3">
        <v>459070</v>
      </c>
      <c r="F113" s="3">
        <v>36</v>
      </c>
      <c r="G113" s="3" t="s">
        <v>12</v>
      </c>
      <c r="H113" s="3" t="str">
        <f ca="1">IFERROR(__xludf.DUMMYFUNCTION("GOOGLETRANSLATE(B113,""auto"",""en"")"),"Storage / finishing / drying")</f>
        <v>Storage / finishing / drying</v>
      </c>
      <c r="I113" s="3" t="str">
        <f ca="1">IFERROR(__xludf.DUMMYFUNCTION("GOOGLETRANSLATE(C113,""auto"",""en"")"),"Tie rack")</f>
        <v>Tie rack</v>
      </c>
    </row>
    <row r="114" spans="1:9" ht="13" x14ac:dyDescent="0.15">
      <c r="A114" s="2" t="s">
        <v>9</v>
      </c>
      <c r="B114" s="2" t="s">
        <v>95</v>
      </c>
      <c r="C114" s="2" t="s">
        <v>126</v>
      </c>
      <c r="D114" s="3">
        <v>2098759</v>
      </c>
      <c r="E114" s="3">
        <v>459070</v>
      </c>
      <c r="F114" s="3">
        <v>34</v>
      </c>
      <c r="G114" s="3" t="s">
        <v>12</v>
      </c>
      <c r="H114" s="3" t="str">
        <f ca="1">IFERROR(__xludf.DUMMYFUNCTION("GOOGLETRANSLATE(B114,""auto"",""en"")"),"Storage / finishing / drying")</f>
        <v>Storage / finishing / drying</v>
      </c>
      <c r="I114" s="3" t="str">
        <f ca="1">IFERROR(__xludf.DUMMYFUNCTION("GOOGLETRANSLATE(C114,""auto"",""en"")"),"Gaiters / shoe / shoe")</f>
        <v>Gaiters / shoe / shoe</v>
      </c>
    </row>
    <row r="115" spans="1:9" ht="13" x14ac:dyDescent="0.15">
      <c r="A115" s="2" t="s">
        <v>9</v>
      </c>
      <c r="B115" s="2" t="s">
        <v>95</v>
      </c>
      <c r="C115" s="2" t="s">
        <v>127</v>
      </c>
      <c r="D115" s="3">
        <v>2098759</v>
      </c>
      <c r="E115" s="3">
        <v>459070</v>
      </c>
      <c r="F115" s="3">
        <v>30</v>
      </c>
      <c r="G115" s="3" t="s">
        <v>12</v>
      </c>
      <c r="H115" s="3" t="str">
        <f ca="1">IFERROR(__xludf.DUMMYFUNCTION("GOOGLETRANSLATE(B115,""auto"",""en"")"),"Storage / finishing / drying")</f>
        <v>Storage / finishing / drying</v>
      </c>
      <c r="I115" s="3" t="str">
        <f ca="1">IFERROR(__xludf.DUMMYFUNCTION("GOOGLETRANSLATE(C115,""auto"",""en"")"),"Organizer / hub / Winder")</f>
        <v>Organizer / hub / Winder</v>
      </c>
    </row>
    <row r="116" spans="1:9" ht="13" x14ac:dyDescent="0.15">
      <c r="A116" s="2" t="s">
        <v>9</v>
      </c>
      <c r="B116" s="2" t="s">
        <v>95</v>
      </c>
      <c r="C116" s="2" t="s">
        <v>128</v>
      </c>
      <c r="D116" s="3">
        <v>2098759</v>
      </c>
      <c r="E116" s="3">
        <v>459070</v>
      </c>
      <c r="F116" s="3">
        <v>30</v>
      </c>
      <c r="G116" s="3" t="s">
        <v>12</v>
      </c>
      <c r="H116" s="3" t="str">
        <f ca="1">IFERROR(__xludf.DUMMYFUNCTION("GOOGLETRANSLATE(B116,""auto"",""en"")"),"Storage / finishing / drying")</f>
        <v>Storage / finishing / drying</v>
      </c>
      <c r="I116" s="3" t="str">
        <f ca="1">IFERROR(__xludf.DUMMYFUNCTION("GOOGLETRANSLATE(C116,""auto"",""en"")"),"Storage Bottles")</f>
        <v>Storage Bottles</v>
      </c>
    </row>
    <row r="117" spans="1:9" ht="13" x14ac:dyDescent="0.15">
      <c r="A117" s="2" t="s">
        <v>9</v>
      </c>
      <c r="B117" s="2" t="s">
        <v>95</v>
      </c>
      <c r="C117" s="2" t="s">
        <v>129</v>
      </c>
      <c r="D117" s="3">
        <v>2098759</v>
      </c>
      <c r="E117" s="3">
        <v>459070</v>
      </c>
      <c r="F117" s="3">
        <v>21</v>
      </c>
      <c r="G117" s="3" t="s">
        <v>12</v>
      </c>
      <c r="H117" s="3" t="str">
        <f ca="1">IFERROR(__xludf.DUMMYFUNCTION("GOOGLETRANSLATE(B117,""auto"",""en"")"),"Storage / finishing / drying")</f>
        <v>Storage / finishing / drying</v>
      </c>
      <c r="I117" s="3" t="str">
        <f ca="1">IFERROR(__xludf.DUMMYFUNCTION("GOOGLETRANSLATE(C117,""auto"",""en"")"),"Suction pump")</f>
        <v>Suction pump</v>
      </c>
    </row>
    <row r="118" spans="1:9" ht="13" x14ac:dyDescent="0.15">
      <c r="A118" s="2" t="s">
        <v>9</v>
      </c>
      <c r="B118" s="2" t="s">
        <v>95</v>
      </c>
      <c r="C118" s="2" t="s">
        <v>130</v>
      </c>
      <c r="D118" s="3">
        <v>2098759</v>
      </c>
      <c r="E118" s="3">
        <v>459070</v>
      </c>
      <c r="F118" s="3">
        <v>14</v>
      </c>
      <c r="G118" s="3" t="s">
        <v>12</v>
      </c>
      <c r="H118" s="3" t="str">
        <f ca="1">IFERROR(__xludf.DUMMYFUNCTION("GOOGLETRANSLATE(B118,""auto"",""en"")"),"Storage / finishing / drying")</f>
        <v>Storage / finishing / drying</v>
      </c>
      <c r="I118" s="3" t="str">
        <f ca="1">IFERROR(__xludf.DUMMYFUNCTION("GOOGLETRANSLATE(C118,""auto"",""en"")"),"Dusting brush")</f>
        <v>Dusting brush</v>
      </c>
    </row>
    <row r="119" spans="1:9" ht="13" x14ac:dyDescent="0.15">
      <c r="A119" s="2" t="s">
        <v>9</v>
      </c>
      <c r="B119" s="2" t="s">
        <v>95</v>
      </c>
      <c r="C119" s="2" t="s">
        <v>131</v>
      </c>
      <c r="D119" s="3">
        <v>2098759</v>
      </c>
      <c r="E119" s="3">
        <v>459070</v>
      </c>
      <c r="F119" s="3">
        <v>12</v>
      </c>
      <c r="G119" s="3" t="s">
        <v>12</v>
      </c>
      <c r="H119" s="3" t="str">
        <f ca="1">IFERROR(__xludf.DUMMYFUNCTION("GOOGLETRANSLATE(B119,""auto"",""en"")"),"Storage / finishing / drying")</f>
        <v>Storage / finishing / drying</v>
      </c>
      <c r="I119" s="3" t="str">
        <f ca="1">IFERROR(__xludf.DUMMYFUNCTION("GOOGLETRANSLATE(C119,""auto"",""en"")"),"ironing board")</f>
        <v>ironing board</v>
      </c>
    </row>
    <row r="120" spans="1:9" ht="13" x14ac:dyDescent="0.15">
      <c r="A120" s="2" t="s">
        <v>9</v>
      </c>
      <c r="B120" s="2" t="s">
        <v>95</v>
      </c>
      <c r="C120" s="2" t="s">
        <v>132</v>
      </c>
      <c r="D120" s="3">
        <v>2098759</v>
      </c>
      <c r="E120" s="3">
        <v>459070</v>
      </c>
      <c r="F120" s="3">
        <v>2</v>
      </c>
      <c r="G120" s="3" t="s">
        <v>12</v>
      </c>
      <c r="H120" s="3" t="str">
        <f ca="1">IFERROR(__xludf.DUMMYFUNCTION("GOOGLETRANSLATE(B120,""auto"",""en"")"),"Storage / finishing / drying")</f>
        <v>Storage / finishing / drying</v>
      </c>
      <c r="I120" s="3" t="str">
        <f ca="1">IFERROR(__xludf.DUMMYFUNCTION("GOOGLETRANSLATE(C120,""auto"",""en"")"),"Duplex filter adherend")</f>
        <v>Duplex filter adherend</v>
      </c>
    </row>
    <row r="121" spans="1:9" ht="13" x14ac:dyDescent="0.15">
      <c r="A121" s="2" t="s">
        <v>9</v>
      </c>
      <c r="B121" s="2" t="s">
        <v>95</v>
      </c>
      <c r="C121" s="2" t="s">
        <v>133</v>
      </c>
      <c r="D121" s="3">
        <v>2098759</v>
      </c>
      <c r="E121" s="3">
        <v>459070</v>
      </c>
      <c r="F121" s="3">
        <v>1</v>
      </c>
      <c r="G121" s="3" t="s">
        <v>12</v>
      </c>
      <c r="H121" s="3" t="str">
        <f ca="1">IFERROR(__xludf.DUMMYFUNCTION("GOOGLETRANSLATE(B121,""auto"",""en"")"),"Storage / finishing / drying")</f>
        <v>Storage / finishing / drying</v>
      </c>
      <c r="I121" s="3" t="str">
        <f ca="1">IFERROR(__xludf.DUMMYFUNCTION("GOOGLETRANSLATE(C121,""auto"",""en"")"),"Clothing plate stack")</f>
        <v>Clothing plate stack</v>
      </c>
    </row>
    <row r="122" spans="1:9" ht="13" x14ac:dyDescent="0.15">
      <c r="A122" s="2" t="s">
        <v>9</v>
      </c>
      <c r="B122" s="2" t="s">
        <v>134</v>
      </c>
      <c r="C122" s="2" t="s">
        <v>135</v>
      </c>
      <c r="D122" s="3">
        <v>2098759</v>
      </c>
      <c r="E122" s="3">
        <v>217456</v>
      </c>
      <c r="F122" s="3">
        <v>194606</v>
      </c>
      <c r="G122" s="3" t="s">
        <v>12</v>
      </c>
      <c r="H122" s="3" t="str">
        <f ca="1">IFERROR(__xludf.DUMMYFUNCTION("GOOGLETRANSLATE(B122,""auto"",""en"")"),"Laundry detergent / care agents")</f>
        <v>Laundry detergent / care agents</v>
      </c>
      <c r="I122" s="3" t="str">
        <f ca="1">IFERROR(__xludf.DUMMYFUNCTION("GOOGLETRANSLATE(C122,""auto"",""en"")"),"Laundry detergent")</f>
        <v>Laundry detergent</v>
      </c>
    </row>
    <row r="123" spans="1:9" ht="13" x14ac:dyDescent="0.15">
      <c r="A123" s="2" t="s">
        <v>9</v>
      </c>
      <c r="B123" s="2" t="s">
        <v>134</v>
      </c>
      <c r="C123" s="2" t="s">
        <v>136</v>
      </c>
      <c r="D123" s="3">
        <v>2098759</v>
      </c>
      <c r="E123" s="3">
        <v>217456</v>
      </c>
      <c r="F123" s="3">
        <v>9194</v>
      </c>
      <c r="G123" s="3" t="s">
        <v>12</v>
      </c>
      <c r="H123" s="3" t="str">
        <f ca="1">IFERROR(__xludf.DUMMYFUNCTION("GOOGLETRANSLATE(B123,""auto"",""en"")"),"Laundry detergent / care agents")</f>
        <v>Laundry detergent / care agents</v>
      </c>
      <c r="I123" s="3" t="str">
        <f ca="1">IFERROR(__xludf.DUMMYFUNCTION("GOOGLETRANSLATE(C123,""auto"",""en"")"),"Laundry soap")</f>
        <v>Laundry soap</v>
      </c>
    </row>
    <row r="124" spans="1:9" ht="13" x14ac:dyDescent="0.15">
      <c r="A124" s="2" t="s">
        <v>9</v>
      </c>
      <c r="B124" s="2" t="s">
        <v>134</v>
      </c>
      <c r="C124" s="2" t="s">
        <v>92</v>
      </c>
      <c r="D124" s="3">
        <v>2098759</v>
      </c>
      <c r="E124" s="3">
        <v>217456</v>
      </c>
      <c r="F124" s="3">
        <v>6602</v>
      </c>
      <c r="G124" s="3" t="s">
        <v>12</v>
      </c>
      <c r="H124" s="3" t="str">
        <f ca="1">IFERROR(__xludf.DUMMYFUNCTION("GOOGLETRANSLATE(B124,""auto"",""en"")"),"Laundry detergent / care agents")</f>
        <v>Laundry detergent / care agents</v>
      </c>
      <c r="I124" s="3" t="str">
        <f ca="1">IFERROR(__xludf.DUMMYFUNCTION("GOOGLETRANSLATE(C124,""auto"",""en"")"),"other")</f>
        <v>other</v>
      </c>
    </row>
    <row r="125" spans="1:9" ht="13" x14ac:dyDescent="0.15">
      <c r="A125" s="2" t="s">
        <v>9</v>
      </c>
      <c r="B125" s="2" t="s">
        <v>134</v>
      </c>
      <c r="C125" s="2" t="s">
        <v>137</v>
      </c>
      <c r="D125" s="3">
        <v>2098759</v>
      </c>
      <c r="E125" s="3">
        <v>217456</v>
      </c>
      <c r="F125" s="3">
        <v>6339</v>
      </c>
      <c r="G125" s="3" t="s">
        <v>12</v>
      </c>
      <c r="H125" s="3" t="str">
        <f ca="1">IFERROR(__xludf.DUMMYFUNCTION("GOOGLETRANSLATE(B125,""auto"",""en"")"),"Laundry detergent / care agents")</f>
        <v>Laundry detergent / care agents</v>
      </c>
      <c r="I125" s="3" t="str">
        <f ca="1">IFERROR(__xludf.DUMMYFUNCTION("GOOGLETRANSLATE(C125,""auto"",""en"")"),"washing powder")</f>
        <v>washing powder</v>
      </c>
    </row>
    <row r="126" spans="1:9" ht="13" x14ac:dyDescent="0.15">
      <c r="A126" s="2" t="s">
        <v>9</v>
      </c>
      <c r="B126" s="2" t="s">
        <v>134</v>
      </c>
      <c r="C126" s="2" t="s">
        <v>138</v>
      </c>
      <c r="D126" s="3">
        <v>2098759</v>
      </c>
      <c r="E126" s="3">
        <v>217456</v>
      </c>
      <c r="F126" s="3">
        <v>200</v>
      </c>
      <c r="G126" s="3" t="s">
        <v>12</v>
      </c>
      <c r="H126" s="3" t="str">
        <f ca="1">IFERROR(__xludf.DUMMYFUNCTION("GOOGLETRANSLATE(B126,""auto"",""en"")"),"Laundry detergent / care agents")</f>
        <v>Laundry detergent / care agents</v>
      </c>
      <c r="I126" s="3" t="str">
        <f ca="1">IFERROR(__xludf.DUMMYFUNCTION("GOOGLETRANSLATE(C126,""auto"",""en"")"),"Fabric Softener")</f>
        <v>Fabric Softener</v>
      </c>
    </row>
    <row r="127" spans="1:9" ht="13" x14ac:dyDescent="0.15">
      <c r="A127" s="2" t="s">
        <v>9</v>
      </c>
      <c r="B127" s="2" t="s">
        <v>134</v>
      </c>
      <c r="C127" s="2" t="s">
        <v>139</v>
      </c>
      <c r="D127" s="3">
        <v>2098759</v>
      </c>
      <c r="E127" s="3">
        <v>217456</v>
      </c>
      <c r="F127" s="3">
        <v>194</v>
      </c>
      <c r="G127" s="3" t="s">
        <v>12</v>
      </c>
      <c r="H127" s="3" t="str">
        <f ca="1">IFERROR(__xludf.DUMMYFUNCTION("GOOGLETRANSLATE(B127,""auto"",""en"")"),"Laundry detergent / care agents")</f>
        <v>Laundry detergent / care agents</v>
      </c>
      <c r="I127" s="3" t="str">
        <f ca="1">IFERROR(__xludf.DUMMYFUNCTION("GOOGLETRANSLATE(C127,""auto"",""en"")"),"Sheet exhaustion")</f>
        <v>Sheet exhaustion</v>
      </c>
    </row>
    <row r="128" spans="1:9" ht="13" x14ac:dyDescent="0.15">
      <c r="A128" s="2" t="s">
        <v>9</v>
      </c>
      <c r="B128" s="2" t="s">
        <v>134</v>
      </c>
      <c r="C128" s="2" t="s">
        <v>140</v>
      </c>
      <c r="D128" s="3">
        <v>2098759</v>
      </c>
      <c r="E128" s="3">
        <v>217456</v>
      </c>
      <c r="F128" s="3">
        <v>159</v>
      </c>
      <c r="G128" s="3" t="s">
        <v>12</v>
      </c>
      <c r="H128" s="3" t="str">
        <f ca="1">IFERROR(__xludf.DUMMYFUNCTION("GOOGLETRANSLATE(B128,""auto"",""en"")"),"Laundry detergent / care agents")</f>
        <v>Laundry detergent / care agents</v>
      </c>
      <c r="I128" s="3" t="str">
        <f ca="1">IFERROR(__xludf.DUMMYFUNCTION("GOOGLETRANSLATE(C128,""auto"",""en"")"),"bleach")</f>
        <v>bleach</v>
      </c>
    </row>
    <row r="129" spans="1:9" ht="13" x14ac:dyDescent="0.15">
      <c r="A129" s="2" t="s">
        <v>9</v>
      </c>
      <c r="B129" s="2" t="s">
        <v>134</v>
      </c>
      <c r="C129" s="2" t="s">
        <v>141</v>
      </c>
      <c r="D129" s="3">
        <v>2098759</v>
      </c>
      <c r="E129" s="3">
        <v>217456</v>
      </c>
      <c r="F129" s="3">
        <v>115</v>
      </c>
      <c r="G129" s="3" t="s">
        <v>12</v>
      </c>
      <c r="H129" s="3" t="str">
        <f ca="1">IFERROR(__xludf.DUMMYFUNCTION("GOOGLETRANSLATE(B129,""auto"",""en"")"),"Laundry detergent / care agents")</f>
        <v>Laundry detergent / care agents</v>
      </c>
      <c r="I129" s="3" t="str">
        <f ca="1">IFERROR(__xludf.DUMMYFUNCTION("GOOGLETRANSLATE(C129,""auto"",""en"")"),"Bleach")</f>
        <v>Bleach</v>
      </c>
    </row>
    <row r="130" spans="1:9" ht="13" x14ac:dyDescent="0.15">
      <c r="A130" s="2" t="s">
        <v>9</v>
      </c>
      <c r="B130" s="2" t="s">
        <v>134</v>
      </c>
      <c r="C130" s="2" t="s">
        <v>142</v>
      </c>
      <c r="D130" s="3">
        <v>2098759</v>
      </c>
      <c r="E130" s="3">
        <v>217456</v>
      </c>
      <c r="F130" s="3">
        <v>43</v>
      </c>
      <c r="G130" s="3" t="s">
        <v>12</v>
      </c>
      <c r="H130" s="3" t="str">
        <f ca="1">IFERROR(__xludf.DUMMYFUNCTION("GOOGLETRANSLATE(B130,""auto"",""en"")"),"Laundry detergent / care agents")</f>
        <v>Laundry detergent / care agents</v>
      </c>
      <c r="I130" s="3" t="str">
        <f ca="1">IFERROR(__xludf.DUMMYFUNCTION("GOOGLETRANSLATE(C130,""auto"",""en"")"),"Net collar")</f>
        <v>Net collar</v>
      </c>
    </row>
    <row r="131" spans="1:9" ht="13" x14ac:dyDescent="0.15">
      <c r="A131" s="2" t="s">
        <v>9</v>
      </c>
      <c r="B131" s="2" t="s">
        <v>134</v>
      </c>
      <c r="C131" s="2" t="s">
        <v>143</v>
      </c>
      <c r="D131" s="3">
        <v>2098759</v>
      </c>
      <c r="E131" s="3">
        <v>217456</v>
      </c>
      <c r="F131" s="3">
        <v>5</v>
      </c>
      <c r="G131" s="3" t="s">
        <v>12</v>
      </c>
      <c r="H131" s="3" t="str">
        <f ca="1">IFERROR(__xludf.DUMMYFUNCTION("GOOGLETRANSLATE(B131,""auto"",""en"")"),"Laundry detergent / care agents")</f>
        <v>Laundry detergent / care agents</v>
      </c>
      <c r="I131" s="3" t="str">
        <f ca="1">IFERROR(__xludf.DUMMYFUNCTION("GOOGLETRANSLATE(C131,""auto"",""en"")"),"PCE")</f>
        <v>PCE</v>
      </c>
    </row>
    <row r="132" spans="1:9" ht="13" x14ac:dyDescent="0.15">
      <c r="A132" s="2" t="s">
        <v>9</v>
      </c>
      <c r="B132" s="2" t="s">
        <v>54</v>
      </c>
      <c r="C132" s="2" t="s">
        <v>144</v>
      </c>
      <c r="D132" s="3">
        <v>2098759</v>
      </c>
      <c r="E132" s="3">
        <v>102920</v>
      </c>
      <c r="F132" s="3">
        <v>45056</v>
      </c>
      <c r="G132" s="3" t="s">
        <v>12</v>
      </c>
      <c r="H132" s="3" t="str">
        <f ca="1">IFERROR(__xludf.DUMMYFUNCTION("GOOGLETRANSLATE(B132,""auto"",""en"")"),"Tableware")</f>
        <v>Tableware</v>
      </c>
      <c r="I132" s="3" t="str">
        <f ca="1">IFERROR(__xludf.DUMMYFUNCTION("GOOGLETRANSLATE(C132,""auto"",""en"")"),"Plastic cups")</f>
        <v>Plastic cups</v>
      </c>
    </row>
    <row r="133" spans="1:9" ht="13" x14ac:dyDescent="0.15">
      <c r="A133" s="2" t="s">
        <v>9</v>
      </c>
      <c r="B133" s="2" t="s">
        <v>54</v>
      </c>
      <c r="C133" s="2" t="s">
        <v>145</v>
      </c>
      <c r="D133" s="3">
        <v>2098759</v>
      </c>
      <c r="E133" s="3">
        <v>102920</v>
      </c>
      <c r="F133" s="3">
        <v>16368</v>
      </c>
      <c r="G133" s="3" t="s">
        <v>12</v>
      </c>
      <c r="H133" s="3" t="str">
        <f ca="1">IFERROR(__xludf.DUMMYFUNCTION("GOOGLETRANSLATE(B133,""auto"",""en"")"),"Tableware")</f>
        <v>Tableware</v>
      </c>
      <c r="I133" s="3" t="str">
        <f ca="1">IFERROR(__xludf.DUMMYFUNCTION("GOOGLETRANSLATE(C133,""auto"",""en"")"),"glass")</f>
        <v>glass</v>
      </c>
    </row>
    <row r="134" spans="1:9" ht="13" x14ac:dyDescent="0.15">
      <c r="A134" s="2" t="s">
        <v>9</v>
      </c>
      <c r="B134" s="2" t="s">
        <v>54</v>
      </c>
      <c r="C134" s="2" t="s">
        <v>146</v>
      </c>
      <c r="D134" s="3">
        <v>2098759</v>
      </c>
      <c r="E134" s="3">
        <v>102920</v>
      </c>
      <c r="F134" s="3">
        <v>13098</v>
      </c>
      <c r="G134" s="3" t="s">
        <v>12</v>
      </c>
      <c r="H134" s="3" t="str">
        <f ca="1">IFERROR(__xludf.DUMMYFUNCTION("GOOGLETRANSLATE(B134,""auto"",""en"")"),"Tableware")</f>
        <v>Tableware</v>
      </c>
      <c r="I134" s="3" t="str">
        <f ca="1">IFERROR(__xludf.DUMMYFUNCTION("GOOGLETRANSLATE(C134,""auto"",""en"")"),"Suction cup")</f>
        <v>Suction cup</v>
      </c>
    </row>
    <row r="135" spans="1:9" ht="13" x14ac:dyDescent="0.15">
      <c r="A135" s="2" t="s">
        <v>9</v>
      </c>
      <c r="B135" s="2" t="s">
        <v>54</v>
      </c>
      <c r="C135" s="2" t="s">
        <v>147</v>
      </c>
      <c r="D135" s="3">
        <v>2098759</v>
      </c>
      <c r="E135" s="3">
        <v>102920</v>
      </c>
      <c r="F135" s="3">
        <v>6755</v>
      </c>
      <c r="G135" s="3" t="s">
        <v>12</v>
      </c>
      <c r="H135" s="3" t="str">
        <f ca="1">IFERROR(__xludf.DUMMYFUNCTION("GOOGLETRANSLATE(B135,""auto"",""en"")"),"Tableware")</f>
        <v>Tableware</v>
      </c>
      <c r="I135" s="3" t="str">
        <f ca="1">IFERROR(__xludf.DUMMYFUNCTION("GOOGLETRANSLATE(C135,""auto"",""en"")"),"chopsticks")</f>
        <v>chopsticks</v>
      </c>
    </row>
    <row r="136" spans="1:9" ht="13" x14ac:dyDescent="0.15">
      <c r="A136" s="2" t="s">
        <v>9</v>
      </c>
      <c r="B136" s="2" t="s">
        <v>54</v>
      </c>
      <c r="C136" s="2" t="s">
        <v>148</v>
      </c>
      <c r="D136" s="3">
        <v>2098759</v>
      </c>
      <c r="E136" s="3">
        <v>102920</v>
      </c>
      <c r="F136" s="3">
        <v>5320</v>
      </c>
      <c r="G136" s="3" t="s">
        <v>12</v>
      </c>
      <c r="H136" s="3" t="str">
        <f ca="1">IFERROR(__xludf.DUMMYFUNCTION("GOOGLETRANSLATE(B136,""auto"",""en"")"),"Tableware")</f>
        <v>Tableware</v>
      </c>
      <c r="I136" s="3" t="str">
        <f ca="1">IFERROR(__xludf.DUMMYFUNCTION("GOOGLETRANSLATE(C136,""auto"",""en"")"),"Mug / pot")</f>
        <v>Mug / pot</v>
      </c>
    </row>
    <row r="137" spans="1:9" ht="13" x14ac:dyDescent="0.15">
      <c r="A137" s="2" t="s">
        <v>9</v>
      </c>
      <c r="B137" s="2" t="s">
        <v>54</v>
      </c>
      <c r="C137" s="2" t="s">
        <v>149</v>
      </c>
      <c r="D137" s="3">
        <v>2098759</v>
      </c>
      <c r="E137" s="3">
        <v>102920</v>
      </c>
      <c r="F137" s="3">
        <v>2346</v>
      </c>
      <c r="G137" s="3" t="s">
        <v>12</v>
      </c>
      <c r="H137" s="3" t="str">
        <f ca="1">IFERROR(__xludf.DUMMYFUNCTION("GOOGLETRANSLATE(B137,""auto"",""en"")"),"Tableware")</f>
        <v>Tableware</v>
      </c>
      <c r="I137" s="3" t="str">
        <f ca="1">IFERROR(__xludf.DUMMYFUNCTION("GOOGLETRANSLATE(C137,""auto"",""en"")"),"bowl")</f>
        <v>bowl</v>
      </c>
    </row>
    <row r="138" spans="1:9" ht="13" x14ac:dyDescent="0.15">
      <c r="A138" s="2" t="s">
        <v>9</v>
      </c>
      <c r="B138" s="2" t="s">
        <v>54</v>
      </c>
      <c r="C138" s="2" t="s">
        <v>150</v>
      </c>
      <c r="D138" s="3">
        <v>2098759</v>
      </c>
      <c r="E138" s="3">
        <v>102920</v>
      </c>
      <c r="F138" s="3">
        <v>2285</v>
      </c>
      <c r="G138" s="3" t="s">
        <v>12</v>
      </c>
      <c r="H138" s="3" t="str">
        <f ca="1">IFERROR(__xludf.DUMMYFUNCTION("GOOGLETRANSLATE(B138,""auto"",""en"")"),"Tableware")</f>
        <v>Tableware</v>
      </c>
      <c r="I138" s="3" t="str">
        <f ca="1">IFERROR(__xludf.DUMMYFUNCTION("GOOGLETRANSLATE(C138,""auto"",""en"")"),"Crisper")</f>
        <v>Crisper</v>
      </c>
    </row>
    <row r="139" spans="1:9" ht="13" x14ac:dyDescent="0.15">
      <c r="A139" s="2" t="s">
        <v>9</v>
      </c>
      <c r="B139" s="2" t="s">
        <v>54</v>
      </c>
      <c r="C139" s="2" t="s">
        <v>151</v>
      </c>
      <c r="D139" s="3">
        <v>2098759</v>
      </c>
      <c r="E139" s="3">
        <v>102920</v>
      </c>
      <c r="F139" s="3">
        <v>1907</v>
      </c>
      <c r="G139" s="3" t="s">
        <v>12</v>
      </c>
      <c r="H139" s="3" t="str">
        <f ca="1">IFERROR(__xludf.DUMMYFUNCTION("GOOGLETRANSLATE(B139,""auto"",""en"")"),"Tableware")</f>
        <v>Tableware</v>
      </c>
      <c r="I139" s="3" t="str">
        <f ca="1">IFERROR(__xludf.DUMMYFUNCTION("GOOGLETRANSLATE(C139,""auto"",""en"")"),"Readily Cup / thermos")</f>
        <v>Readily Cup / thermos</v>
      </c>
    </row>
    <row r="140" spans="1:9" ht="13" x14ac:dyDescent="0.15">
      <c r="A140" s="2" t="s">
        <v>9</v>
      </c>
      <c r="B140" s="2" t="s">
        <v>54</v>
      </c>
      <c r="C140" s="2" t="s">
        <v>152</v>
      </c>
      <c r="D140" s="3">
        <v>2098759</v>
      </c>
      <c r="E140" s="3">
        <v>102920</v>
      </c>
      <c r="F140" s="3">
        <v>1761</v>
      </c>
      <c r="G140" s="3" t="s">
        <v>12</v>
      </c>
      <c r="H140" s="3" t="str">
        <f ca="1">IFERROR(__xludf.DUMMYFUNCTION("GOOGLETRANSLATE(B140,""auto"",""en"")"),"Tableware")</f>
        <v>Tableware</v>
      </c>
      <c r="I140" s="3" t="str">
        <f ca="1">IFERROR(__xludf.DUMMYFUNCTION("GOOGLETRANSLATE(C140,""auto"",""en"")"),"Boxes / cooler / heat to the pot")</f>
        <v>Boxes / cooler / heat to the pot</v>
      </c>
    </row>
    <row r="141" spans="1:9" ht="13" x14ac:dyDescent="0.15">
      <c r="A141" s="2" t="s">
        <v>9</v>
      </c>
      <c r="B141" s="2" t="s">
        <v>54</v>
      </c>
      <c r="C141" s="2" t="s">
        <v>153</v>
      </c>
      <c r="D141" s="3">
        <v>2098759</v>
      </c>
      <c r="E141" s="3">
        <v>102920</v>
      </c>
      <c r="F141" s="3">
        <v>1357</v>
      </c>
      <c r="G141" s="3" t="s">
        <v>12</v>
      </c>
      <c r="H141" s="3" t="str">
        <f ca="1">IFERROR(__xludf.DUMMYFUNCTION("GOOGLETRANSLATE(B141,""auto"",""en"")"),"Tableware")</f>
        <v>Tableware</v>
      </c>
      <c r="I141" s="3" t="str">
        <f ca="1">IFERROR(__xludf.DUMMYFUNCTION("GOOGLETRANSLATE(C141,""auto"",""en"")"),"fruit dish")</f>
        <v>fruit dish</v>
      </c>
    </row>
    <row r="142" spans="1:9" ht="13" x14ac:dyDescent="0.15">
      <c r="A142" s="2" t="s">
        <v>9</v>
      </c>
      <c r="B142" s="2" t="s">
        <v>54</v>
      </c>
      <c r="C142" s="2" t="s">
        <v>154</v>
      </c>
      <c r="D142" s="3">
        <v>2098759</v>
      </c>
      <c r="E142" s="3">
        <v>102920</v>
      </c>
      <c r="F142" s="3">
        <v>1062</v>
      </c>
      <c r="G142" s="3" t="s">
        <v>12</v>
      </c>
      <c r="H142" s="3" t="str">
        <f ca="1">IFERROR(__xludf.DUMMYFUNCTION("GOOGLETRANSLATE(B142,""auto"",""en"")"),"Tableware")</f>
        <v>Tableware</v>
      </c>
      <c r="I142" s="3" t="str">
        <f ca="1">IFERROR(__xludf.DUMMYFUNCTION("GOOGLETRANSLATE(C142,""auto"",""en"")"),"fork")</f>
        <v>fork</v>
      </c>
    </row>
    <row r="143" spans="1:9" ht="13" x14ac:dyDescent="0.15">
      <c r="A143" s="2" t="s">
        <v>9</v>
      </c>
      <c r="B143" s="2" t="s">
        <v>54</v>
      </c>
      <c r="C143" s="2" t="s">
        <v>155</v>
      </c>
      <c r="D143" s="3">
        <v>2098759</v>
      </c>
      <c r="E143" s="3">
        <v>102920</v>
      </c>
      <c r="F143" s="3">
        <v>739</v>
      </c>
      <c r="G143" s="3" t="s">
        <v>12</v>
      </c>
      <c r="H143" s="3" t="str">
        <f ca="1">IFERROR(__xludf.DUMMYFUNCTION("GOOGLETRANSLATE(B143,""auto"",""en"")"),"Tableware")</f>
        <v>Tableware</v>
      </c>
      <c r="I143" s="3" t="str">
        <f ca="1">IFERROR(__xludf.DUMMYFUNCTION("GOOGLETRANSLATE(C143,""auto"",""en"")"),"plastic wrap")</f>
        <v>plastic wrap</v>
      </c>
    </row>
    <row r="144" spans="1:9" ht="13" x14ac:dyDescent="0.15">
      <c r="A144" s="2" t="s">
        <v>9</v>
      </c>
      <c r="B144" s="2" t="s">
        <v>54</v>
      </c>
      <c r="C144" s="2" t="s">
        <v>156</v>
      </c>
      <c r="D144" s="3">
        <v>2098759</v>
      </c>
      <c r="E144" s="3">
        <v>102920</v>
      </c>
      <c r="F144" s="3">
        <v>684</v>
      </c>
      <c r="G144" s="3" t="s">
        <v>12</v>
      </c>
      <c r="H144" s="3" t="str">
        <f ca="1">IFERROR(__xludf.DUMMYFUNCTION("GOOGLETRANSLATE(B144,""auto"",""en"")"),"Tableware")</f>
        <v>Tableware</v>
      </c>
      <c r="I144" s="3" t="str">
        <f ca="1">IFERROR(__xludf.DUMMYFUNCTION("GOOGLETRANSLATE(C144,""auto"",""en"")"),"Space Cup")</f>
        <v>Space Cup</v>
      </c>
    </row>
    <row r="145" spans="1:9" ht="13" x14ac:dyDescent="0.15">
      <c r="A145" s="2" t="s">
        <v>9</v>
      </c>
      <c r="B145" s="2" t="s">
        <v>54</v>
      </c>
      <c r="C145" s="2" t="s">
        <v>157</v>
      </c>
      <c r="D145" s="3">
        <v>2098759</v>
      </c>
      <c r="E145" s="3">
        <v>102920</v>
      </c>
      <c r="F145" s="3">
        <v>625</v>
      </c>
      <c r="G145" s="3" t="s">
        <v>12</v>
      </c>
      <c r="H145" s="3" t="str">
        <f ca="1">IFERROR(__xludf.DUMMYFUNCTION("GOOGLETRANSLATE(B145,""auto"",""en"")"),"Tableware")</f>
        <v>Tableware</v>
      </c>
      <c r="I145" s="3" t="str">
        <f ca="1">IFERROR(__xludf.DUMMYFUNCTION("GOOGLETRANSLATE(C145,""auto"",""en"")"),"Spoon")</f>
        <v>Spoon</v>
      </c>
    </row>
    <row r="146" spans="1:9" ht="13" x14ac:dyDescent="0.15">
      <c r="A146" s="2" t="s">
        <v>9</v>
      </c>
      <c r="B146" s="2" t="s">
        <v>54</v>
      </c>
      <c r="C146" s="2" t="s">
        <v>158</v>
      </c>
      <c r="D146" s="3">
        <v>2098759</v>
      </c>
      <c r="E146" s="3">
        <v>102920</v>
      </c>
      <c r="F146" s="3">
        <v>544</v>
      </c>
      <c r="G146" s="3" t="s">
        <v>12</v>
      </c>
      <c r="H146" s="3" t="str">
        <f ca="1">IFERROR(__xludf.DUMMYFUNCTION("GOOGLETRANSLATE(B146,""auto"",""en"")"),"Tableware")</f>
        <v>Tableware</v>
      </c>
      <c r="I146" s="3" t="str">
        <f ca="1">IFERROR(__xludf.DUMMYFUNCTION("GOOGLETRANSLATE(C146,""auto"",""en"")"),"Cold water bottles")</f>
        <v>Cold water bottles</v>
      </c>
    </row>
    <row r="147" spans="1:9" ht="13" x14ac:dyDescent="0.15">
      <c r="A147" s="2" t="s">
        <v>9</v>
      </c>
      <c r="B147" s="2" t="s">
        <v>54</v>
      </c>
      <c r="C147" s="2" t="s">
        <v>159</v>
      </c>
      <c r="D147" s="3">
        <v>2098759</v>
      </c>
      <c r="E147" s="3">
        <v>102920</v>
      </c>
      <c r="F147" s="3">
        <v>363</v>
      </c>
      <c r="G147" s="3" t="s">
        <v>12</v>
      </c>
      <c r="H147" s="3" t="str">
        <f ca="1">IFERROR(__xludf.DUMMYFUNCTION("GOOGLETRANSLATE(B147,""auto"",""en"")"),"Tableware")</f>
        <v>Tableware</v>
      </c>
      <c r="I147" s="3" t="str">
        <f ca="1">IFERROR(__xludf.DUMMYFUNCTION("GOOGLETRANSLATE(C147,""auto"",""en"")"),"Fork spoon chopsticks suit")</f>
        <v>Fork spoon chopsticks suit</v>
      </c>
    </row>
    <row r="148" spans="1:9" ht="13" x14ac:dyDescent="0.15">
      <c r="A148" s="2" t="s">
        <v>9</v>
      </c>
      <c r="B148" s="2" t="s">
        <v>54</v>
      </c>
      <c r="C148" s="2" t="s">
        <v>160</v>
      </c>
      <c r="D148" s="3">
        <v>2098759</v>
      </c>
      <c r="E148" s="3">
        <v>102920</v>
      </c>
      <c r="F148" s="3">
        <v>304</v>
      </c>
      <c r="G148" s="3" t="s">
        <v>12</v>
      </c>
      <c r="H148" s="3" t="str">
        <f ca="1">IFERROR(__xludf.DUMMYFUNCTION("GOOGLETRANSLATE(B148,""auto"",""en"")"),"Tableware")</f>
        <v>Tableware</v>
      </c>
      <c r="I148" s="3" t="str">
        <f ca="1">IFERROR(__xludf.DUMMYFUNCTION("GOOGLETRANSLATE(C148,""auto"",""en"")"),"Storage bags")</f>
        <v>Storage bags</v>
      </c>
    </row>
    <row r="149" spans="1:9" ht="13" x14ac:dyDescent="0.15">
      <c r="A149" s="2" t="s">
        <v>9</v>
      </c>
      <c r="B149" s="2" t="s">
        <v>54</v>
      </c>
      <c r="C149" s="2" t="s">
        <v>161</v>
      </c>
      <c r="D149" s="3">
        <v>2098759</v>
      </c>
      <c r="E149" s="3">
        <v>102920</v>
      </c>
      <c r="F149" s="3">
        <v>301</v>
      </c>
      <c r="G149" s="3" t="s">
        <v>12</v>
      </c>
      <c r="H149" s="3" t="str">
        <f ca="1">IFERROR(__xludf.DUMMYFUNCTION("GOOGLETRANSLATE(B149,""auto"",""en"")"),"Tableware")</f>
        <v>Tableware</v>
      </c>
      <c r="I149" s="3" t="str">
        <f ca="1">IFERROR(__xludf.DUMMYFUNCTION("GOOGLETRANSLATE(C149,""auto"",""en"")"),"Leakproof / seal cup")</f>
        <v>Leakproof / seal cup</v>
      </c>
    </row>
    <row r="150" spans="1:9" ht="13" x14ac:dyDescent="0.15">
      <c r="A150" s="2" t="s">
        <v>9</v>
      </c>
      <c r="B150" s="2" t="s">
        <v>54</v>
      </c>
      <c r="C150" s="2" t="s">
        <v>162</v>
      </c>
      <c r="D150" s="3">
        <v>2098759</v>
      </c>
      <c r="E150" s="3">
        <v>102920</v>
      </c>
      <c r="F150" s="3">
        <v>294</v>
      </c>
      <c r="G150" s="3" t="s">
        <v>12</v>
      </c>
      <c r="H150" s="3" t="str">
        <f ca="1">IFERROR(__xludf.DUMMYFUNCTION("GOOGLETRANSLATE(B150,""auto"",""en"")"),"Tableware")</f>
        <v>Tableware</v>
      </c>
      <c r="I150" s="3" t="str">
        <f ca="1">IFERROR(__xludf.DUMMYFUNCTION("GOOGLETRANSLATE(C150,""auto"",""en"")"),"Porcelain tableware suit")</f>
        <v>Porcelain tableware suit</v>
      </c>
    </row>
    <row r="151" spans="1:9" ht="13" x14ac:dyDescent="0.15">
      <c r="A151" s="2" t="s">
        <v>9</v>
      </c>
      <c r="B151" s="2" t="s">
        <v>54</v>
      </c>
      <c r="C151" s="2" t="s">
        <v>163</v>
      </c>
      <c r="D151" s="3">
        <v>2098759</v>
      </c>
      <c r="E151" s="3">
        <v>102920</v>
      </c>
      <c r="F151" s="3">
        <v>256</v>
      </c>
      <c r="G151" s="3" t="s">
        <v>12</v>
      </c>
      <c r="H151" s="3" t="str">
        <f ca="1">IFERROR(__xludf.DUMMYFUNCTION("GOOGLETRANSLATE(B151,""auto"",""en"")"),"Tableware")</f>
        <v>Tableware</v>
      </c>
      <c r="I151" s="3" t="str">
        <f ca="1">IFERROR(__xludf.DUMMYFUNCTION("GOOGLETRANSLATE(C151,""auto"",""en"")"),"Coasters")</f>
        <v>Coasters</v>
      </c>
    </row>
    <row r="152" spans="1:9" ht="13" x14ac:dyDescent="0.15">
      <c r="A152" s="2" t="s">
        <v>9</v>
      </c>
      <c r="B152" s="2" t="s">
        <v>54</v>
      </c>
      <c r="C152" s="2" t="s">
        <v>164</v>
      </c>
      <c r="D152" s="3">
        <v>2098759</v>
      </c>
      <c r="E152" s="3">
        <v>102920</v>
      </c>
      <c r="F152" s="3">
        <v>213</v>
      </c>
      <c r="G152" s="3" t="s">
        <v>12</v>
      </c>
      <c r="H152" s="3" t="str">
        <f ca="1">IFERROR(__xludf.DUMMYFUNCTION("GOOGLETRANSLATE(B152,""auto"",""en"")"),"Tableware")</f>
        <v>Tableware</v>
      </c>
      <c r="I152" s="3" t="str">
        <f ca="1">IFERROR(__xludf.DUMMYFUNCTION("GOOGLETRANSLATE(C152,""auto"",""en"")"),"Disposable catering supplies")</f>
        <v>Disposable catering supplies</v>
      </c>
    </row>
    <row r="153" spans="1:9" ht="13" x14ac:dyDescent="0.15">
      <c r="A153" s="2" t="s">
        <v>9</v>
      </c>
      <c r="B153" s="2" t="s">
        <v>54</v>
      </c>
      <c r="C153" s="2" t="s">
        <v>165</v>
      </c>
      <c r="D153" s="3">
        <v>2098759</v>
      </c>
      <c r="E153" s="3">
        <v>102920</v>
      </c>
      <c r="F153" s="3">
        <v>208</v>
      </c>
      <c r="G153" s="3" t="s">
        <v>12</v>
      </c>
      <c r="H153" s="3" t="str">
        <f ca="1">IFERROR(__xludf.DUMMYFUNCTION("GOOGLETRANSLATE(B153,""auto"",""en"")"),"Tableware")</f>
        <v>Tableware</v>
      </c>
      <c r="I153" s="3" t="str">
        <f ca="1">IFERROR(__xludf.DUMMYFUNCTION("GOOGLETRANSLATE(C153,""auto"",""en"")"),"Tea Set")</f>
        <v>Tea Set</v>
      </c>
    </row>
    <row r="154" spans="1:9" ht="13" x14ac:dyDescent="0.15">
      <c r="A154" s="2" t="s">
        <v>9</v>
      </c>
      <c r="B154" s="2" t="s">
        <v>54</v>
      </c>
      <c r="C154" s="2" t="s">
        <v>166</v>
      </c>
      <c r="D154" s="3">
        <v>2098759</v>
      </c>
      <c r="E154" s="3">
        <v>102920</v>
      </c>
      <c r="F154" s="3">
        <v>198</v>
      </c>
      <c r="G154" s="3" t="s">
        <v>12</v>
      </c>
      <c r="H154" s="3" t="str">
        <f ca="1">IFERROR(__xludf.DUMMYFUNCTION("GOOGLETRANSLATE(B154,""auto"",""en"")"),"Tableware")</f>
        <v>Tableware</v>
      </c>
      <c r="I154" s="3" t="str">
        <f ca="1">IFERROR(__xludf.DUMMYFUNCTION("GOOGLETRANSLATE(C154,""auto"",""en"")"),"Mug")</f>
        <v>Mug</v>
      </c>
    </row>
    <row r="155" spans="1:9" ht="13" x14ac:dyDescent="0.15">
      <c r="A155" s="2" t="s">
        <v>9</v>
      </c>
      <c r="B155" s="2" t="s">
        <v>54</v>
      </c>
      <c r="C155" s="2" t="s">
        <v>167</v>
      </c>
      <c r="D155" s="3">
        <v>2098759</v>
      </c>
      <c r="E155" s="3">
        <v>102920</v>
      </c>
      <c r="F155" s="3">
        <v>158</v>
      </c>
      <c r="G155" s="3" t="s">
        <v>12</v>
      </c>
      <c r="H155" s="3" t="str">
        <f ca="1">IFERROR(__xludf.DUMMYFUNCTION("GOOGLETRANSLATE(B155,""auto"",""en"")"),"Tableware")</f>
        <v>Tableware</v>
      </c>
      <c r="I155" s="3" t="str">
        <f ca="1">IFERROR(__xludf.DUMMYFUNCTION("GOOGLETRANSLATE(C155,""auto"",""en"")"),"Portable / folding cutlery")</f>
        <v>Portable / folding cutlery</v>
      </c>
    </row>
    <row r="156" spans="1:9" ht="13" x14ac:dyDescent="0.15">
      <c r="A156" s="2" t="s">
        <v>9</v>
      </c>
      <c r="B156" s="2" t="s">
        <v>54</v>
      </c>
      <c r="C156" s="2" t="s">
        <v>168</v>
      </c>
      <c r="D156" s="3">
        <v>2098759</v>
      </c>
      <c r="E156" s="3">
        <v>102920</v>
      </c>
      <c r="F156" s="3">
        <v>119</v>
      </c>
      <c r="G156" s="3" t="s">
        <v>12</v>
      </c>
      <c r="H156" s="3" t="str">
        <f ca="1">IFERROR(__xludf.DUMMYFUNCTION("GOOGLETRANSLATE(B156,""auto"",""en"")"),"Tableware")</f>
        <v>Tableware</v>
      </c>
      <c r="I156" s="3" t="str">
        <f ca="1">IFERROR(__xludf.DUMMYFUNCTION("GOOGLETRANSLATE(C156,""auto"",""en"")"),"Milk Cup")</f>
        <v>Milk Cup</v>
      </c>
    </row>
    <row r="157" spans="1:9" ht="13" x14ac:dyDescent="0.15">
      <c r="A157" s="2" t="s">
        <v>9</v>
      </c>
      <c r="B157" s="2" t="s">
        <v>54</v>
      </c>
      <c r="C157" s="2" t="s">
        <v>169</v>
      </c>
      <c r="D157" s="3">
        <v>2098759</v>
      </c>
      <c r="E157" s="3">
        <v>102920</v>
      </c>
      <c r="F157" s="3">
        <v>108</v>
      </c>
      <c r="G157" s="3" t="s">
        <v>12</v>
      </c>
      <c r="H157" s="3" t="str">
        <f ca="1">IFERROR(__xludf.DUMMYFUNCTION("GOOGLETRANSLATE(B157,""auto"",""en"")"),"Tableware")</f>
        <v>Tableware</v>
      </c>
      <c r="I157" s="3" t="str">
        <f ca="1">IFERROR(__xludf.DUMMYFUNCTION("GOOGLETRANSLATE(C157,""auto"",""en"")"),"straw")</f>
        <v>straw</v>
      </c>
    </row>
    <row r="158" spans="1:9" ht="13" x14ac:dyDescent="0.15">
      <c r="A158" s="2" t="s">
        <v>9</v>
      </c>
      <c r="B158" s="2" t="s">
        <v>54</v>
      </c>
      <c r="C158" s="2" t="s">
        <v>170</v>
      </c>
      <c r="D158" s="3">
        <v>2098759</v>
      </c>
      <c r="E158" s="3">
        <v>102920</v>
      </c>
      <c r="F158" s="3">
        <v>80</v>
      </c>
      <c r="G158" s="3" t="s">
        <v>12</v>
      </c>
      <c r="H158" s="3" t="str">
        <f ca="1">IFERROR(__xludf.DUMMYFUNCTION("GOOGLETRANSLATE(B158,""auto"",""en"")"),"Tableware")</f>
        <v>Tableware</v>
      </c>
      <c r="I158" s="3" t="str">
        <f ca="1">IFERROR(__xludf.DUMMYFUNCTION("GOOGLETRANSLATE(C158,""auto"",""en"")"),"Lids")</f>
        <v>Lids</v>
      </c>
    </row>
    <row r="159" spans="1:9" ht="13" x14ac:dyDescent="0.15">
      <c r="A159" s="2" t="s">
        <v>9</v>
      </c>
      <c r="B159" s="2" t="s">
        <v>54</v>
      </c>
      <c r="C159" s="2" t="s">
        <v>171</v>
      </c>
      <c r="D159" s="3">
        <v>2098759</v>
      </c>
      <c r="E159" s="3">
        <v>102920</v>
      </c>
      <c r="F159" s="3">
        <v>77</v>
      </c>
      <c r="G159" s="3" t="s">
        <v>12</v>
      </c>
      <c r="H159" s="3" t="str">
        <f ca="1">IFERROR(__xludf.DUMMYFUNCTION("GOOGLETRANSLATE(B159,""auto"",""en"")"),"Tableware")</f>
        <v>Tableware</v>
      </c>
      <c r="I159" s="3" t="str">
        <f ca="1">IFERROR(__xludf.DUMMYFUNCTION("GOOGLETRANSLATE(C159,""auto"",""en"")"),"Tableware")</f>
        <v>Tableware</v>
      </c>
    </row>
    <row r="160" spans="1:9" ht="13" x14ac:dyDescent="0.15">
      <c r="A160" s="2" t="s">
        <v>9</v>
      </c>
      <c r="B160" s="2" t="s">
        <v>54</v>
      </c>
      <c r="C160" s="2" t="s">
        <v>172</v>
      </c>
      <c r="D160" s="3">
        <v>2098759</v>
      </c>
      <c r="E160" s="3">
        <v>102920</v>
      </c>
      <c r="F160" s="3">
        <v>74</v>
      </c>
      <c r="G160" s="3" t="s">
        <v>12</v>
      </c>
      <c r="H160" s="3" t="str">
        <f ca="1">IFERROR(__xludf.DUMMYFUNCTION("GOOGLETRANSLATE(B160,""auto"",""en"")"),"Tableware")</f>
        <v>Tableware</v>
      </c>
      <c r="I160" s="3" t="str">
        <f ca="1">IFERROR(__xludf.DUMMYFUNCTION("GOOGLETRANSLATE(C160,""auto"",""en"")"),"Shaker")</f>
        <v>Shaker</v>
      </c>
    </row>
    <row r="161" spans="1:9" ht="13" x14ac:dyDescent="0.15">
      <c r="A161" s="2" t="s">
        <v>9</v>
      </c>
      <c r="B161" s="2" t="s">
        <v>54</v>
      </c>
      <c r="C161" s="2" t="s">
        <v>173</v>
      </c>
      <c r="D161" s="3">
        <v>2098759</v>
      </c>
      <c r="E161" s="3">
        <v>102920</v>
      </c>
      <c r="F161" s="3">
        <v>67</v>
      </c>
      <c r="G161" s="3" t="s">
        <v>12</v>
      </c>
      <c r="H161" s="3" t="str">
        <f ca="1">IFERROR(__xludf.DUMMYFUNCTION("GOOGLETRANSLATE(B161,""auto"",""en"")"),"Tableware")</f>
        <v>Tableware</v>
      </c>
      <c r="I161" s="3" t="str">
        <f ca="1">IFERROR(__xludf.DUMMYFUNCTION("GOOGLETRANSLATE(C161,""auto"",""en"")"),"Sports Bottle / travel pot")</f>
        <v>Sports Bottle / travel pot</v>
      </c>
    </row>
    <row r="162" spans="1:9" ht="13" x14ac:dyDescent="0.15">
      <c r="A162" s="2" t="s">
        <v>9</v>
      </c>
      <c r="B162" s="2" t="s">
        <v>54</v>
      </c>
      <c r="C162" s="2" t="s">
        <v>174</v>
      </c>
      <c r="D162" s="3">
        <v>2098759</v>
      </c>
      <c r="E162" s="3">
        <v>102920</v>
      </c>
      <c r="F162" s="3">
        <v>33</v>
      </c>
      <c r="G162" s="3" t="s">
        <v>12</v>
      </c>
      <c r="H162" s="3" t="str">
        <f ca="1">IFERROR(__xludf.DUMMYFUNCTION("GOOGLETRANSLATE(B162,""auto"",""en"")"),"Tableware")</f>
        <v>Tableware</v>
      </c>
      <c r="I162" s="3" t="str">
        <f ca="1">IFERROR(__xludf.DUMMYFUNCTION("GOOGLETRANSLATE(C162,""auto"",""en"")"),"Lemon Cup")</f>
        <v>Lemon Cup</v>
      </c>
    </row>
    <row r="163" spans="1:9" ht="13" x14ac:dyDescent="0.15">
      <c r="A163" s="2" t="s">
        <v>9</v>
      </c>
      <c r="B163" s="2" t="s">
        <v>54</v>
      </c>
      <c r="C163" s="2" t="s">
        <v>175</v>
      </c>
      <c r="D163" s="3">
        <v>2098759</v>
      </c>
      <c r="E163" s="3">
        <v>102920</v>
      </c>
      <c r="F163" s="3">
        <v>30</v>
      </c>
      <c r="G163" s="3" t="s">
        <v>12</v>
      </c>
      <c r="H163" s="3" t="str">
        <f ca="1">IFERROR(__xludf.DUMMYFUNCTION("GOOGLETRANSLATE(B163,""auto"",""en"")"),"Tableware")</f>
        <v>Tableware</v>
      </c>
      <c r="I163" s="3" t="str">
        <f ca="1">IFERROR(__xludf.DUMMYFUNCTION("GOOGLETRANSLATE(C163,""auto"",""en"")"),"Ice Bucket")</f>
        <v>Ice Bucket</v>
      </c>
    </row>
    <row r="164" spans="1:9" ht="13" x14ac:dyDescent="0.15">
      <c r="A164" s="2" t="s">
        <v>9</v>
      </c>
      <c r="B164" s="2" t="s">
        <v>54</v>
      </c>
      <c r="C164" s="2" t="s">
        <v>176</v>
      </c>
      <c r="D164" s="3">
        <v>2098759</v>
      </c>
      <c r="E164" s="3">
        <v>102920</v>
      </c>
      <c r="F164" s="3">
        <v>26</v>
      </c>
      <c r="G164" s="3" t="s">
        <v>12</v>
      </c>
      <c r="H164" s="3" t="str">
        <f ca="1">IFERROR(__xludf.DUMMYFUNCTION("GOOGLETRANSLATE(B164,""auto"",""en"")"),"Tableware")</f>
        <v>Tableware</v>
      </c>
      <c r="I164" s="3" t="str">
        <f ca="1">IFERROR(__xludf.DUMMYFUNCTION("GOOGLETRANSLATE(C164,""auto"",""en"")"),"Opener")</f>
        <v>Opener</v>
      </c>
    </row>
    <row r="165" spans="1:9" ht="13" x14ac:dyDescent="0.15">
      <c r="A165" s="2" t="s">
        <v>9</v>
      </c>
      <c r="B165" s="2" t="s">
        <v>54</v>
      </c>
      <c r="C165" s="2" t="s">
        <v>177</v>
      </c>
      <c r="D165" s="3">
        <v>2098759</v>
      </c>
      <c r="E165" s="3">
        <v>102920</v>
      </c>
      <c r="F165" s="3">
        <v>26</v>
      </c>
      <c r="G165" s="3" t="s">
        <v>12</v>
      </c>
      <c r="H165" s="3" t="str">
        <f ca="1">IFERROR(__xludf.DUMMYFUNCTION("GOOGLETRANSLATE(B165,""auto"",""en"")"),"Tableware")</f>
        <v>Tableware</v>
      </c>
      <c r="I165" s="3" t="str">
        <f ca="1">IFERROR(__xludf.DUMMYFUNCTION("GOOGLETRANSLATE(C165,""auto"",""en"")"),"Coffee mugs")</f>
        <v>Coffee mugs</v>
      </c>
    </row>
    <row r="166" spans="1:9" ht="13" x14ac:dyDescent="0.15">
      <c r="A166" s="2" t="s">
        <v>9</v>
      </c>
      <c r="B166" s="2" t="s">
        <v>54</v>
      </c>
      <c r="C166" s="2" t="s">
        <v>178</v>
      </c>
      <c r="D166" s="3">
        <v>2098759</v>
      </c>
      <c r="E166" s="3">
        <v>102920</v>
      </c>
      <c r="F166" s="3">
        <v>26</v>
      </c>
      <c r="G166" s="3" t="s">
        <v>12</v>
      </c>
      <c r="H166" s="3" t="str">
        <f ca="1">IFERROR(__xludf.DUMMYFUNCTION("GOOGLETRANSLATE(B166,""auto"",""en"")"),"Tableware")</f>
        <v>Tableware</v>
      </c>
      <c r="I166" s="3" t="str">
        <f ca="1">IFERROR(__xludf.DUMMYFUNCTION("GOOGLETRANSLATE(C166,""auto"",""en"")"),"Tea / with zero")</f>
        <v>Tea / with zero</v>
      </c>
    </row>
    <row r="167" spans="1:9" ht="13" x14ac:dyDescent="0.15">
      <c r="A167" s="2" t="s">
        <v>9</v>
      </c>
      <c r="B167" s="2" t="s">
        <v>54</v>
      </c>
      <c r="C167" s="2" t="s">
        <v>179</v>
      </c>
      <c r="D167" s="3">
        <v>2098759</v>
      </c>
      <c r="E167" s="3">
        <v>102920</v>
      </c>
      <c r="F167" s="3">
        <v>25</v>
      </c>
      <c r="G167" s="3" t="s">
        <v>12</v>
      </c>
      <c r="H167" s="3" t="str">
        <f ca="1">IFERROR(__xludf.DUMMYFUNCTION("GOOGLETRANSLATE(B167,""auto"",""en"")"),"Tableware")</f>
        <v>Tableware</v>
      </c>
      <c r="I167" s="3" t="str">
        <f ca="1">IFERROR(__xludf.DUMMYFUNCTION("GOOGLETRANSLATE(C167,""auto"",""en"")"),"Lid")</f>
        <v>Lid</v>
      </c>
    </row>
    <row r="168" spans="1:9" ht="13" x14ac:dyDescent="0.15">
      <c r="A168" s="2" t="s">
        <v>9</v>
      </c>
      <c r="B168" s="2" t="s">
        <v>54</v>
      </c>
      <c r="C168" s="2" t="s">
        <v>180</v>
      </c>
      <c r="D168" s="3">
        <v>2098759</v>
      </c>
      <c r="E168" s="3">
        <v>102920</v>
      </c>
      <c r="F168" s="3">
        <v>6</v>
      </c>
      <c r="G168" s="3" t="s">
        <v>12</v>
      </c>
      <c r="H168" s="3" t="str">
        <f ca="1">IFERROR(__xludf.DUMMYFUNCTION("GOOGLETRANSLATE(B168,""auto"",""en"")"),"Tableware")</f>
        <v>Tableware</v>
      </c>
      <c r="I168" s="3" t="str">
        <f ca="1">IFERROR(__xludf.DUMMYFUNCTION("GOOGLETRANSLATE(C168,""auto"",""en"")"),"flagon")</f>
        <v>flagon</v>
      </c>
    </row>
    <row r="169" spans="1:9" ht="13" x14ac:dyDescent="0.15">
      <c r="A169" s="2" t="s">
        <v>9</v>
      </c>
      <c r="B169" s="2" t="s">
        <v>54</v>
      </c>
      <c r="C169" s="2" t="s">
        <v>181</v>
      </c>
      <c r="D169" s="3">
        <v>2098759</v>
      </c>
      <c r="E169" s="3">
        <v>102920</v>
      </c>
      <c r="F169" s="3">
        <v>5</v>
      </c>
      <c r="G169" s="3" t="s">
        <v>12</v>
      </c>
      <c r="H169" s="3" t="str">
        <f ca="1">IFERROR(__xludf.DUMMYFUNCTION("GOOGLETRANSLATE(B169,""auto"",""en"")"),"Tableware")</f>
        <v>Tableware</v>
      </c>
      <c r="I169" s="3" t="str">
        <f ca="1">IFERROR(__xludf.DUMMYFUNCTION("GOOGLETRANSLATE(C169,""auto"",""en"")"),"Ice clip")</f>
        <v>Ice clip</v>
      </c>
    </row>
    <row r="170" spans="1:9" ht="13" x14ac:dyDescent="0.15">
      <c r="A170" s="2" t="s">
        <v>9</v>
      </c>
      <c r="B170" s="2" t="s">
        <v>54</v>
      </c>
      <c r="C170" s="2" t="s">
        <v>182</v>
      </c>
      <c r="D170" s="3">
        <v>2098759</v>
      </c>
      <c r="E170" s="3">
        <v>102920</v>
      </c>
      <c r="F170" s="3">
        <v>4</v>
      </c>
      <c r="G170" s="3" t="s">
        <v>12</v>
      </c>
      <c r="H170" s="3" t="str">
        <f ca="1">IFERROR(__xludf.DUMMYFUNCTION("GOOGLETRANSLATE(B170,""auto"",""en"")"),"Tableware")</f>
        <v>Tableware</v>
      </c>
      <c r="I170" s="3" t="str">
        <f ca="1">IFERROR(__xludf.DUMMYFUNCTION("GOOGLETRANSLATE(C170,""auto"",""en"")"),"Elegant Cup")</f>
        <v>Elegant Cup</v>
      </c>
    </row>
    <row r="171" spans="1:9" ht="13" x14ac:dyDescent="0.15">
      <c r="A171" s="2" t="s">
        <v>9</v>
      </c>
      <c r="B171" s="2" t="s">
        <v>54</v>
      </c>
      <c r="C171" s="2" t="s">
        <v>183</v>
      </c>
      <c r="D171" s="3">
        <v>2098759</v>
      </c>
      <c r="E171" s="3">
        <v>102920</v>
      </c>
      <c r="F171" s="3">
        <v>4</v>
      </c>
      <c r="G171" s="3" t="s">
        <v>12</v>
      </c>
      <c r="H171" s="3" t="str">
        <f ca="1">IFERROR(__xludf.DUMMYFUNCTION("GOOGLETRANSLATE(B171,""auto"",""en"")"),"Tableware")</f>
        <v>Tableware</v>
      </c>
      <c r="I171" s="3" t="str">
        <f ca="1">IFERROR(__xludf.DUMMYFUNCTION("GOOGLETRANSLATE(C171,""auto"",""en"")"),"Sealing film")</f>
        <v>Sealing film</v>
      </c>
    </row>
    <row r="172" spans="1:9" ht="13" x14ac:dyDescent="0.15">
      <c r="A172" s="2" t="s">
        <v>9</v>
      </c>
      <c r="B172" s="2" t="s">
        <v>54</v>
      </c>
      <c r="C172" s="2" t="s">
        <v>184</v>
      </c>
      <c r="D172" s="3">
        <v>2098759</v>
      </c>
      <c r="E172" s="3">
        <v>102920</v>
      </c>
      <c r="F172" s="3">
        <v>3</v>
      </c>
      <c r="G172" s="3" t="s">
        <v>12</v>
      </c>
      <c r="H172" s="3" t="str">
        <f ca="1">IFERROR(__xludf.DUMMYFUNCTION("GOOGLETRANSLATE(B172,""auto"",""en"")"),"Tableware")</f>
        <v>Tableware</v>
      </c>
      <c r="I172" s="3" t="str">
        <f ca="1">IFERROR(__xludf.DUMMYFUNCTION("GOOGLETRANSLATE(C172,""auto"",""en"")"),"Grinder")</f>
        <v>Grinder</v>
      </c>
    </row>
    <row r="173" spans="1:9" ht="13" x14ac:dyDescent="0.15">
      <c r="A173" s="2" t="s">
        <v>9</v>
      </c>
      <c r="B173" s="2" t="s">
        <v>54</v>
      </c>
      <c r="C173" s="2" t="s">
        <v>185</v>
      </c>
      <c r="D173" s="3">
        <v>2098759</v>
      </c>
      <c r="E173" s="3">
        <v>102920</v>
      </c>
      <c r="F173" s="3">
        <v>3</v>
      </c>
      <c r="G173" s="3" t="s">
        <v>12</v>
      </c>
      <c r="H173" s="3" t="str">
        <f ca="1">IFERROR(__xludf.DUMMYFUNCTION("GOOGLETRANSLATE(B173,""auto"",""en"")"),"Tableware")</f>
        <v>Tableware</v>
      </c>
      <c r="I173" s="3" t="str">
        <f ca="1">IFERROR(__xludf.DUMMYFUNCTION("GOOGLETRANSLATE(C173,""auto"",""en"")"),"coffee pot")</f>
        <v>coffee pot</v>
      </c>
    </row>
    <row r="174" spans="1:9" ht="13" x14ac:dyDescent="0.15">
      <c r="A174" s="2" t="s">
        <v>9</v>
      </c>
      <c r="B174" s="2" t="s">
        <v>54</v>
      </c>
      <c r="C174" s="2" t="s">
        <v>186</v>
      </c>
      <c r="D174" s="3">
        <v>2098759</v>
      </c>
      <c r="E174" s="3">
        <v>102920</v>
      </c>
      <c r="F174" s="3">
        <v>2</v>
      </c>
      <c r="G174" s="3" t="s">
        <v>12</v>
      </c>
      <c r="H174" s="3" t="str">
        <f ca="1">IFERROR(__xludf.DUMMYFUNCTION("GOOGLETRANSLATE(B174,""auto"",""en"")"),"Tableware")</f>
        <v>Tableware</v>
      </c>
      <c r="I174" s="3" t="str">
        <f ca="1">IFERROR(__xludf.DUMMYFUNCTION("GOOGLETRANSLATE(C174,""auto"",""en"")"),"Wineglass")</f>
        <v>Wineglass</v>
      </c>
    </row>
    <row r="175" spans="1:9" ht="13" x14ac:dyDescent="0.15">
      <c r="A175" s="2" t="s">
        <v>9</v>
      </c>
      <c r="B175" s="2" t="s">
        <v>54</v>
      </c>
      <c r="C175" s="2" t="s">
        <v>187</v>
      </c>
      <c r="D175" s="3">
        <v>2098759</v>
      </c>
      <c r="E175" s="3">
        <v>102920</v>
      </c>
      <c r="F175" s="3">
        <v>2</v>
      </c>
      <c r="G175" s="3" t="s">
        <v>12</v>
      </c>
      <c r="H175" s="3" t="str">
        <f ca="1">IFERROR(__xludf.DUMMYFUNCTION("GOOGLETRANSLATE(B175,""auto"",""en"")"),"Tableware")</f>
        <v>Tableware</v>
      </c>
      <c r="I175" s="3" t="str">
        <f ca="1">IFERROR(__xludf.DUMMYFUNCTION("GOOGLETRANSLATE(C175,""auto"",""en"")"),"Cup sets")</f>
        <v>Cup sets</v>
      </c>
    </row>
    <row r="176" spans="1:9" ht="13" x14ac:dyDescent="0.15">
      <c r="A176" s="2" t="s">
        <v>9</v>
      </c>
      <c r="B176" s="2" t="s">
        <v>54</v>
      </c>
      <c r="C176" s="2" t="s">
        <v>188</v>
      </c>
      <c r="D176" s="3">
        <v>2098759</v>
      </c>
      <c r="E176" s="3">
        <v>102920</v>
      </c>
      <c r="F176" s="3">
        <v>1</v>
      </c>
      <c r="G176" s="3" t="s">
        <v>12</v>
      </c>
      <c r="H176" s="3" t="str">
        <f ca="1">IFERROR(__xludf.DUMMYFUNCTION("GOOGLETRANSLATE(B176,""auto"",""en"")"),"Tableware")</f>
        <v>Tableware</v>
      </c>
      <c r="I176" s="3" t="str">
        <f ca="1">IFERROR(__xludf.DUMMYFUNCTION("GOOGLETRANSLATE(C176,""auto"",""en"")"),"Table knife")</f>
        <v>Table knife</v>
      </c>
    </row>
    <row r="177" spans="1:9" ht="13" x14ac:dyDescent="0.15">
      <c r="A177" s="2" t="s">
        <v>9</v>
      </c>
      <c r="B177" s="2" t="s">
        <v>189</v>
      </c>
      <c r="C177" s="2" t="s">
        <v>190</v>
      </c>
      <c r="D177" s="3">
        <v>2098759</v>
      </c>
      <c r="E177" s="3">
        <v>98730</v>
      </c>
      <c r="F177" s="3">
        <v>41887</v>
      </c>
      <c r="G177" s="3" t="s">
        <v>12</v>
      </c>
      <c r="H177" s="3" t="str">
        <f ca="1">IFERROR(__xludf.DUMMYFUNCTION("GOOGLETRANSLATE(B177,""auto"",""en"")"),"Household Cleaning Tools / Supplies")</f>
        <v>Household Cleaning Tools / Supplies</v>
      </c>
      <c r="I177" s="3" t="str">
        <f ca="1">IFERROR(__xludf.DUMMYFUNCTION("GOOGLETRANSLATE(C177,""auto"",""en"")"),"garbage bag")</f>
        <v>garbage bag</v>
      </c>
    </row>
    <row r="178" spans="1:9" ht="13" x14ac:dyDescent="0.15">
      <c r="A178" s="2" t="s">
        <v>9</v>
      </c>
      <c r="B178" s="2" t="s">
        <v>189</v>
      </c>
      <c r="C178" s="2" t="s">
        <v>191</v>
      </c>
      <c r="D178" s="3">
        <v>2098759</v>
      </c>
      <c r="E178" s="3">
        <v>98730</v>
      </c>
      <c r="F178" s="3">
        <v>9409</v>
      </c>
      <c r="G178" s="3" t="s">
        <v>12</v>
      </c>
      <c r="H178" s="3" t="str">
        <f ca="1">IFERROR(__xludf.DUMMYFUNCTION("GOOGLETRANSLATE(B178,""auto"",""en"")"),"Household Cleaning Tools / Supplies")</f>
        <v>Household Cleaning Tools / Supplies</v>
      </c>
      <c r="I178" s="3" t="str">
        <f ca="1">IFERROR(__xludf.DUMMYFUNCTION("GOOGLETRANSLATE(C178,""auto"",""en"")"),"Housework gloves")</f>
        <v>Housework gloves</v>
      </c>
    </row>
    <row r="179" spans="1:9" ht="13" x14ac:dyDescent="0.15">
      <c r="A179" s="2" t="s">
        <v>9</v>
      </c>
      <c r="B179" s="2" t="s">
        <v>189</v>
      </c>
      <c r="C179" s="2" t="s">
        <v>192</v>
      </c>
      <c r="D179" s="3">
        <v>2098759</v>
      </c>
      <c r="E179" s="3">
        <v>98730</v>
      </c>
      <c r="F179" s="3">
        <v>6085</v>
      </c>
      <c r="G179" s="3" t="s">
        <v>12</v>
      </c>
      <c r="H179" s="3" t="str">
        <f ca="1">IFERROR(__xludf.DUMMYFUNCTION("GOOGLETRANSLATE(B179,""auto"",""en"")"),"Household Cleaning Tools / Supplies")</f>
        <v>Household Cleaning Tools / Supplies</v>
      </c>
      <c r="I179" s="3" t="str">
        <f ca="1">IFERROR(__xludf.DUMMYFUNCTION("GOOGLETRANSLATE(C179,""auto"",""en"")"),"Cuff")</f>
        <v>Cuff</v>
      </c>
    </row>
    <row r="180" spans="1:9" ht="13" x14ac:dyDescent="0.15">
      <c r="A180" s="2" t="s">
        <v>9</v>
      </c>
      <c r="B180" s="2" t="s">
        <v>189</v>
      </c>
      <c r="C180" s="2" t="s">
        <v>193</v>
      </c>
      <c r="D180" s="3">
        <v>2098759</v>
      </c>
      <c r="E180" s="3">
        <v>98730</v>
      </c>
      <c r="F180" s="3">
        <v>6061</v>
      </c>
      <c r="G180" s="3" t="s">
        <v>12</v>
      </c>
      <c r="H180" s="3" t="str">
        <f ca="1">IFERROR(__xludf.DUMMYFUNCTION("GOOGLETRANSLATE(B180,""auto"",""en"")"),"Household Cleaning Tools / Supplies")</f>
        <v>Household Cleaning Tools / Supplies</v>
      </c>
      <c r="I180" s="3" t="str">
        <f ca="1">IFERROR(__xludf.DUMMYFUNCTION("GOOGLETRANSLATE(C180,""auto"",""en"")"),"Washing machine tank cleaners")</f>
        <v>Washing machine tank cleaners</v>
      </c>
    </row>
    <row r="181" spans="1:9" ht="13" x14ac:dyDescent="0.15">
      <c r="A181" s="2" t="s">
        <v>9</v>
      </c>
      <c r="B181" s="2" t="s">
        <v>189</v>
      </c>
      <c r="C181" s="2" t="s">
        <v>194</v>
      </c>
      <c r="D181" s="3">
        <v>2098759</v>
      </c>
      <c r="E181" s="3">
        <v>98730</v>
      </c>
      <c r="F181" s="3">
        <v>5513</v>
      </c>
      <c r="G181" s="3" t="s">
        <v>12</v>
      </c>
      <c r="H181" s="3" t="str">
        <f ca="1">IFERROR(__xludf.DUMMYFUNCTION("GOOGLETRANSLATE(B181,""auto"",""en"")"),"Household Cleaning Tools / Supplies")</f>
        <v>Household Cleaning Tools / Supplies</v>
      </c>
      <c r="I181" s="3" t="str">
        <f ca="1">IFERROR(__xludf.DUMMYFUNCTION("GOOGLETRANSLATE(C181,""auto"",""en"")"),"Toilet bowl cleaners / Toilet Bowl Cleaner")</f>
        <v>Toilet bowl cleaners / Toilet Bowl Cleaner</v>
      </c>
    </row>
    <row r="182" spans="1:9" ht="13" x14ac:dyDescent="0.15">
      <c r="A182" s="2" t="s">
        <v>9</v>
      </c>
      <c r="B182" s="2" t="s">
        <v>189</v>
      </c>
      <c r="C182" s="2" t="s">
        <v>195</v>
      </c>
      <c r="D182" s="3">
        <v>2098759</v>
      </c>
      <c r="E182" s="3">
        <v>98730</v>
      </c>
      <c r="F182" s="3">
        <v>5437</v>
      </c>
      <c r="G182" s="3" t="s">
        <v>12</v>
      </c>
      <c r="H182" s="3" t="str">
        <f ca="1">IFERROR(__xludf.DUMMYFUNCTION("GOOGLETRANSLATE(B182,""auto"",""en"")"),"Household Cleaning Tools / Supplies")</f>
        <v>Household Cleaning Tools / Supplies</v>
      </c>
      <c r="I182" s="3" t="str">
        <f ca="1">IFERROR(__xludf.DUMMYFUNCTION("GOOGLETRANSLATE(C182,""auto"",""en"")"),"Rotating mop")</f>
        <v>Rotating mop</v>
      </c>
    </row>
    <row r="183" spans="1:9" ht="13" x14ac:dyDescent="0.15">
      <c r="A183" s="2" t="s">
        <v>9</v>
      </c>
      <c r="B183" s="2" t="s">
        <v>189</v>
      </c>
      <c r="C183" s="2" t="s">
        <v>196</v>
      </c>
      <c r="D183" s="3">
        <v>2098759</v>
      </c>
      <c r="E183" s="3">
        <v>98730</v>
      </c>
      <c r="F183" s="3">
        <v>4260</v>
      </c>
      <c r="G183" s="3" t="s">
        <v>12</v>
      </c>
      <c r="H183" s="3" t="str">
        <f ca="1">IFERROR(__xludf.DUMMYFUNCTION("GOOGLETRANSLATE(B183,""auto"",""en"")"),"Household Cleaning Tools / Supplies")</f>
        <v>Household Cleaning Tools / Supplies</v>
      </c>
      <c r="I183" s="3" t="str">
        <f ca="1">IFERROR(__xludf.DUMMYFUNCTION("GOOGLETRANSLATE(C183,""auto"",""en"")"),"Scouring pad")</f>
        <v>Scouring pad</v>
      </c>
    </row>
    <row r="184" spans="1:9" ht="13" x14ac:dyDescent="0.15">
      <c r="A184" s="2" t="s">
        <v>9</v>
      </c>
      <c r="B184" s="2" t="s">
        <v>189</v>
      </c>
      <c r="C184" s="2" t="s">
        <v>92</v>
      </c>
      <c r="D184" s="3">
        <v>2098759</v>
      </c>
      <c r="E184" s="3">
        <v>98730</v>
      </c>
      <c r="F184" s="3">
        <v>3129</v>
      </c>
      <c r="G184" s="3" t="s">
        <v>12</v>
      </c>
      <c r="H184" s="3" t="str">
        <f ca="1">IFERROR(__xludf.DUMMYFUNCTION("GOOGLETRANSLATE(B184,""auto"",""en"")"),"Household Cleaning Tools / Supplies")</f>
        <v>Household Cleaning Tools / Supplies</v>
      </c>
      <c r="I184" s="3" t="str">
        <f ca="1">IFERROR(__xludf.DUMMYFUNCTION("GOOGLETRANSLATE(C184,""auto"",""en"")"),"other")</f>
        <v>other</v>
      </c>
    </row>
    <row r="185" spans="1:9" ht="13" x14ac:dyDescent="0.15">
      <c r="A185" s="2" t="s">
        <v>9</v>
      </c>
      <c r="B185" s="2" t="s">
        <v>189</v>
      </c>
      <c r="C185" s="2" t="s">
        <v>197</v>
      </c>
      <c r="D185" s="3">
        <v>2098759</v>
      </c>
      <c r="E185" s="3">
        <v>98730</v>
      </c>
      <c r="F185" s="3">
        <v>2903</v>
      </c>
      <c r="G185" s="3" t="s">
        <v>12</v>
      </c>
      <c r="H185" s="3" t="str">
        <f ca="1">IFERROR(__xludf.DUMMYFUNCTION("GOOGLETRANSLATE(B185,""auto"",""en"")"),"Household Cleaning Tools / Supplies")</f>
        <v>Household Cleaning Tools / Supplies</v>
      </c>
      <c r="I185" s="3" t="str">
        <f ca="1">IFERROR(__xludf.DUMMYFUNCTION("GOOGLETRANSLATE(C185,""auto"",""en"")"),"Plastic cotton mop")</f>
        <v>Plastic cotton mop</v>
      </c>
    </row>
    <row r="186" spans="1:9" ht="13" x14ac:dyDescent="0.15">
      <c r="A186" s="2" t="s">
        <v>9</v>
      </c>
      <c r="B186" s="2" t="s">
        <v>189</v>
      </c>
      <c r="C186" s="2" t="s">
        <v>198</v>
      </c>
      <c r="D186" s="3">
        <v>2098759</v>
      </c>
      <c r="E186" s="3">
        <v>98730</v>
      </c>
      <c r="F186" s="3">
        <v>2279</v>
      </c>
      <c r="G186" s="3" t="s">
        <v>12</v>
      </c>
      <c r="H186" s="3" t="str">
        <f ca="1">IFERROR(__xludf.DUMMYFUNCTION("GOOGLETRANSLATE(B186,""auto"",""en"")"),"Household Cleaning Tools / Supplies")</f>
        <v>Household Cleaning Tools / Supplies</v>
      </c>
      <c r="I186" s="3" t="str">
        <f ca="1">IFERROR(__xludf.DUMMYFUNCTION("GOOGLETRANSLATE(C186,""auto"",""en"")"),"Sponge")</f>
        <v>Sponge</v>
      </c>
    </row>
    <row r="187" spans="1:9" ht="13" x14ac:dyDescent="0.15">
      <c r="A187" s="2" t="s">
        <v>9</v>
      </c>
      <c r="B187" s="2" t="s">
        <v>189</v>
      </c>
      <c r="C187" s="2" t="s">
        <v>199</v>
      </c>
      <c r="D187" s="3">
        <v>2098759</v>
      </c>
      <c r="E187" s="3">
        <v>98730</v>
      </c>
      <c r="F187" s="3">
        <v>1653</v>
      </c>
      <c r="G187" s="3" t="s">
        <v>12</v>
      </c>
      <c r="H187" s="3" t="str">
        <f ca="1">IFERROR(__xludf.DUMMYFUNCTION("GOOGLETRANSLATE(B187,""auto"",""en"")"),"Household Cleaning Tools / Supplies")</f>
        <v>Household Cleaning Tools / Supplies</v>
      </c>
      <c r="I187" s="3" t="str">
        <f ca="1">IFERROR(__xludf.DUMMYFUNCTION("GOOGLETRANSLATE(C187,""auto"",""en"")"),"Flat mop")</f>
        <v>Flat mop</v>
      </c>
    </row>
    <row r="188" spans="1:9" ht="13" x14ac:dyDescent="0.15">
      <c r="A188" s="2" t="s">
        <v>9</v>
      </c>
      <c r="B188" s="2" t="s">
        <v>189</v>
      </c>
      <c r="C188" s="2" t="s">
        <v>200</v>
      </c>
      <c r="D188" s="3">
        <v>2098759</v>
      </c>
      <c r="E188" s="3">
        <v>98730</v>
      </c>
      <c r="F188" s="3">
        <v>1563</v>
      </c>
      <c r="G188" s="3" t="s">
        <v>12</v>
      </c>
      <c r="H188" s="3" t="str">
        <f ca="1">IFERROR(__xludf.DUMMYFUNCTION("GOOGLETRANSLATE(B188,""auto"",""en"")"),"Household Cleaning Tools / Supplies")</f>
        <v>Household Cleaning Tools / Supplies</v>
      </c>
      <c r="I188" s="3" t="str">
        <f ca="1">IFERROR(__xludf.DUMMYFUNCTION("GOOGLETRANSLATE(C188,""auto"",""en"")"),"rag")</f>
        <v>rag</v>
      </c>
    </row>
    <row r="189" spans="1:9" ht="13" x14ac:dyDescent="0.15">
      <c r="A189" s="2" t="s">
        <v>9</v>
      </c>
      <c r="B189" s="2" t="s">
        <v>189</v>
      </c>
      <c r="C189" s="2" t="s">
        <v>201</v>
      </c>
      <c r="D189" s="3">
        <v>2098759</v>
      </c>
      <c r="E189" s="3">
        <v>98730</v>
      </c>
      <c r="F189" s="3">
        <v>1326</v>
      </c>
      <c r="G189" s="3" t="s">
        <v>12</v>
      </c>
      <c r="H189" s="3" t="str">
        <f ca="1">IFERROR(__xludf.DUMMYFUNCTION("GOOGLETRANSLATE(B189,""auto"",""en"")"),"Household Cleaning Tools / Supplies")</f>
        <v>Household Cleaning Tools / Supplies</v>
      </c>
      <c r="I189" s="3" t="str">
        <f ca="1">IFERROR(__xludf.DUMMYFUNCTION("GOOGLETRANSLATE(C189,""auto"",""en"")"),"apron")</f>
        <v>apron</v>
      </c>
    </row>
    <row r="190" spans="1:9" ht="13" x14ac:dyDescent="0.15">
      <c r="A190" s="2" t="s">
        <v>9</v>
      </c>
      <c r="B190" s="2" t="s">
        <v>189</v>
      </c>
      <c r="C190" s="2" t="s">
        <v>202</v>
      </c>
      <c r="D190" s="3">
        <v>2098759</v>
      </c>
      <c r="E190" s="3">
        <v>98730</v>
      </c>
      <c r="F190" s="3">
        <v>1096</v>
      </c>
      <c r="G190" s="3" t="s">
        <v>12</v>
      </c>
      <c r="H190" s="3" t="str">
        <f ca="1">IFERROR(__xludf.DUMMYFUNCTION("GOOGLETRANSLATE(B190,""auto"",""en"")"),"Household Cleaning Tools / Supplies")</f>
        <v>Household Cleaning Tools / Supplies</v>
      </c>
      <c r="I190" s="3" t="str">
        <f ca="1">IFERROR(__xludf.DUMMYFUNCTION("GOOGLETRANSLATE(C190,""auto"",""en"")"),"brush")</f>
        <v>brush</v>
      </c>
    </row>
    <row r="191" spans="1:9" ht="13" x14ac:dyDescent="0.15">
      <c r="A191" s="2" t="s">
        <v>9</v>
      </c>
      <c r="B191" s="2" t="s">
        <v>189</v>
      </c>
      <c r="C191" s="2" t="s">
        <v>203</v>
      </c>
      <c r="D191" s="3">
        <v>2098759</v>
      </c>
      <c r="E191" s="3">
        <v>98730</v>
      </c>
      <c r="F191" s="3">
        <v>1085</v>
      </c>
      <c r="G191" s="3" t="s">
        <v>12</v>
      </c>
      <c r="H191" s="3" t="str">
        <f ca="1">IFERROR(__xludf.DUMMYFUNCTION("GOOGLETRANSLATE(B191,""auto"",""en"")"),"Household Cleaning Tools / Supplies")</f>
        <v>Household Cleaning Tools / Supplies</v>
      </c>
      <c r="I191" s="3" t="str">
        <f ca="1">IFERROR(__xludf.DUMMYFUNCTION("GOOGLETRANSLATE(C191,""auto"",""en"")"),"disinfectant")</f>
        <v>disinfectant</v>
      </c>
    </row>
    <row r="192" spans="1:9" ht="13" x14ac:dyDescent="0.15">
      <c r="A192" s="2" t="s">
        <v>9</v>
      </c>
      <c r="B192" s="2" t="s">
        <v>189</v>
      </c>
      <c r="C192" s="2" t="s">
        <v>204</v>
      </c>
      <c r="D192" s="3">
        <v>2098759</v>
      </c>
      <c r="E192" s="3">
        <v>98730</v>
      </c>
      <c r="F192" s="3">
        <v>820</v>
      </c>
      <c r="G192" s="3" t="s">
        <v>12</v>
      </c>
      <c r="H192" s="3" t="str">
        <f ca="1">IFERROR(__xludf.DUMMYFUNCTION("GOOGLETRANSLATE(B192,""auto"",""en"")"),"Household Cleaning Tools / Supplies")</f>
        <v>Household Cleaning Tools / Supplies</v>
      </c>
      <c r="I192" s="3" t="str">
        <f ca="1">IFERROR(__xludf.DUMMYFUNCTION("GOOGLETRANSLATE(C192,""auto"",""en"")"),"Trash / garbage stand")</f>
        <v>Trash / garbage stand</v>
      </c>
    </row>
    <row r="193" spans="1:9" ht="13" x14ac:dyDescent="0.15">
      <c r="A193" s="2" t="s">
        <v>9</v>
      </c>
      <c r="B193" s="2" t="s">
        <v>189</v>
      </c>
      <c r="C193" s="2" t="s">
        <v>205</v>
      </c>
      <c r="D193" s="3">
        <v>2098759</v>
      </c>
      <c r="E193" s="3">
        <v>98730</v>
      </c>
      <c r="F193" s="3">
        <v>666</v>
      </c>
      <c r="G193" s="3" t="s">
        <v>12</v>
      </c>
      <c r="H193" s="3" t="str">
        <f ca="1">IFERROR(__xludf.DUMMYFUNCTION("GOOGLETRANSLATE(B193,""auto"",""en"")"),"Household Cleaning Tools / Supplies")</f>
        <v>Household Cleaning Tools / Supplies</v>
      </c>
      <c r="I193" s="3" t="str">
        <f ca="1">IFERROR(__xludf.DUMMYFUNCTION("GOOGLETRANSLATE(C193,""auto"",""en"")"),"Mop accessories")</f>
        <v>Mop accessories</v>
      </c>
    </row>
    <row r="194" spans="1:9" ht="13" x14ac:dyDescent="0.15">
      <c r="A194" s="2" t="s">
        <v>9</v>
      </c>
      <c r="B194" s="2" t="s">
        <v>189</v>
      </c>
      <c r="C194" s="2" t="s">
        <v>206</v>
      </c>
      <c r="D194" s="3">
        <v>2098759</v>
      </c>
      <c r="E194" s="3">
        <v>98730</v>
      </c>
      <c r="F194" s="3">
        <v>585</v>
      </c>
      <c r="G194" s="3" t="s">
        <v>12</v>
      </c>
      <c r="H194" s="3" t="str">
        <f ca="1">IFERROR(__xludf.DUMMYFUNCTION("GOOGLETRANSLATE(B194,""auto"",""en"")"),"Household Cleaning Tools / Supplies")</f>
        <v>Household Cleaning Tools / Supplies</v>
      </c>
      <c r="I194" s="3" t="str">
        <f ca="1">IFERROR(__xludf.DUMMYFUNCTION("GOOGLETRANSLATE(C194,""auto"",""en"")"),"Broom / broom head")</f>
        <v>Broom / broom head</v>
      </c>
    </row>
    <row r="195" spans="1:9" ht="13" x14ac:dyDescent="0.15">
      <c r="A195" s="2" t="s">
        <v>9</v>
      </c>
      <c r="B195" s="2" t="s">
        <v>189</v>
      </c>
      <c r="C195" s="2" t="s">
        <v>207</v>
      </c>
      <c r="D195" s="3">
        <v>2098759</v>
      </c>
      <c r="E195" s="3">
        <v>98730</v>
      </c>
      <c r="F195" s="3">
        <v>523</v>
      </c>
      <c r="G195" s="3" t="s">
        <v>12</v>
      </c>
      <c r="H195" s="3" t="str">
        <f ca="1">IFERROR(__xludf.DUMMYFUNCTION("GOOGLETRANSLATE(B195,""auto"",""en"")"),"Household Cleaning Tools / Supplies")</f>
        <v>Household Cleaning Tools / Supplies</v>
      </c>
      <c r="I195" s="3" t="str">
        <f ca="1">IFERROR(__xludf.DUMMYFUNCTION("GOOGLETRANSLATE(C195,""auto"",""en"")"),"Detergent")</f>
        <v>Detergent</v>
      </c>
    </row>
    <row r="196" spans="1:9" ht="13" x14ac:dyDescent="0.15">
      <c r="A196" s="2" t="s">
        <v>9</v>
      </c>
      <c r="B196" s="2" t="s">
        <v>189</v>
      </c>
      <c r="C196" s="2" t="s">
        <v>208</v>
      </c>
      <c r="D196" s="3">
        <v>2098759</v>
      </c>
      <c r="E196" s="3">
        <v>98730</v>
      </c>
      <c r="F196" s="3">
        <v>456</v>
      </c>
      <c r="G196" s="3" t="s">
        <v>12</v>
      </c>
      <c r="H196" s="3" t="str">
        <f ca="1">IFERROR(__xludf.DUMMYFUNCTION("GOOGLETRANSLATE(B196,""auto"",""en"")"),"Household Cleaning Tools / Supplies")</f>
        <v>Household Cleaning Tools / Supplies</v>
      </c>
      <c r="I196" s="3" t="str">
        <f ca="1">IFERROR(__xludf.DUMMYFUNCTION("GOOGLETRANSLATE(C196,""auto"",""en"")"),"Glass cleaner and accessories")</f>
        <v>Glass cleaner and accessories</v>
      </c>
    </row>
    <row r="197" spans="1:9" ht="13" x14ac:dyDescent="0.15">
      <c r="A197" s="2" t="s">
        <v>9</v>
      </c>
      <c r="B197" s="2" t="s">
        <v>189</v>
      </c>
      <c r="C197" s="2" t="s">
        <v>209</v>
      </c>
      <c r="D197" s="3">
        <v>2098759</v>
      </c>
      <c r="E197" s="3">
        <v>98730</v>
      </c>
      <c r="F197" s="3">
        <v>314</v>
      </c>
      <c r="G197" s="3" t="s">
        <v>12</v>
      </c>
      <c r="H197" s="3" t="str">
        <f ca="1">IFERROR(__xludf.DUMMYFUNCTION("GOOGLETRANSLATE(B197,""auto"",""en"")"),"Household Cleaning Tools / Supplies")</f>
        <v>Household Cleaning Tools / Supplies</v>
      </c>
      <c r="I197" s="3" t="str">
        <f ca="1">IFERROR(__xludf.DUMMYFUNCTION("GOOGLETRANSLATE(C197,""auto"",""en"")"),"Steel balls")</f>
        <v>Steel balls</v>
      </c>
    </row>
    <row r="198" spans="1:9" ht="13" x14ac:dyDescent="0.15">
      <c r="A198" s="2" t="s">
        <v>9</v>
      </c>
      <c r="B198" s="2" t="s">
        <v>189</v>
      </c>
      <c r="C198" s="2" t="s">
        <v>210</v>
      </c>
      <c r="D198" s="3">
        <v>2098759</v>
      </c>
      <c r="E198" s="3">
        <v>98730</v>
      </c>
      <c r="F198" s="3">
        <v>275</v>
      </c>
      <c r="G198" s="3" t="s">
        <v>12</v>
      </c>
      <c r="H198" s="3" t="str">
        <f ca="1">IFERROR(__xludf.DUMMYFUNCTION("GOOGLETRANSLATE(B198,""auto"",""en"")"),"Household Cleaning Tools / Supplies")</f>
        <v>Household Cleaning Tools / Supplies</v>
      </c>
      <c r="I198" s="3" t="str">
        <f ca="1">IFERROR(__xludf.DUMMYFUNCTION("GOOGLETRANSLATE(C198,""auto"",""en"")"),"Footwear PCE")</f>
        <v>Footwear PCE</v>
      </c>
    </row>
    <row r="199" spans="1:9" ht="13" x14ac:dyDescent="0.15">
      <c r="A199" s="2" t="s">
        <v>9</v>
      </c>
      <c r="B199" s="2" t="s">
        <v>189</v>
      </c>
      <c r="C199" s="2" t="s">
        <v>211</v>
      </c>
      <c r="D199" s="3">
        <v>2098759</v>
      </c>
      <c r="E199" s="3">
        <v>98730</v>
      </c>
      <c r="F199" s="3">
        <v>246</v>
      </c>
      <c r="G199" s="3" t="s">
        <v>12</v>
      </c>
      <c r="H199" s="3" t="str">
        <f ca="1">IFERROR(__xludf.DUMMYFUNCTION("GOOGLETRANSLATE(B199,""auto"",""en"")"),"Household Cleaning Tools / Supplies")</f>
        <v>Household Cleaning Tools / Supplies</v>
      </c>
      <c r="I199" s="3" t="str">
        <f ca="1">IFERROR(__xludf.DUMMYFUNCTION("GOOGLETRANSLATE(C199,""auto"",""en"")"),"Oil cleaners")</f>
        <v>Oil cleaners</v>
      </c>
    </row>
    <row r="200" spans="1:9" ht="13" x14ac:dyDescent="0.15">
      <c r="A200" s="2" t="s">
        <v>9</v>
      </c>
      <c r="B200" s="2" t="s">
        <v>189</v>
      </c>
      <c r="C200" s="2" t="s">
        <v>212</v>
      </c>
      <c r="D200" s="3">
        <v>2098759</v>
      </c>
      <c r="E200" s="3">
        <v>98730</v>
      </c>
      <c r="F200" s="3">
        <v>171</v>
      </c>
      <c r="G200" s="3" t="s">
        <v>12</v>
      </c>
      <c r="H200" s="3" t="str">
        <f ca="1">IFERROR(__xludf.DUMMYFUNCTION("GOOGLETRANSLATE(B200,""auto"",""en"")"),"Household Cleaning Tools / Supplies")</f>
        <v>Household Cleaning Tools / Supplies</v>
      </c>
      <c r="I200" s="3" t="str">
        <f ca="1">IFERROR(__xludf.DUMMYFUNCTION("GOOGLETRANSLATE(C200,""auto"",""en"")"),"Drain agent")</f>
        <v>Drain agent</v>
      </c>
    </row>
    <row r="201" spans="1:9" ht="13" x14ac:dyDescent="0.15">
      <c r="A201" s="2" t="s">
        <v>9</v>
      </c>
      <c r="B201" s="2" t="s">
        <v>189</v>
      </c>
      <c r="C201" s="2" t="s">
        <v>213</v>
      </c>
      <c r="D201" s="3">
        <v>2098759</v>
      </c>
      <c r="E201" s="3">
        <v>98730</v>
      </c>
      <c r="F201" s="3">
        <v>164</v>
      </c>
      <c r="G201" s="3" t="s">
        <v>12</v>
      </c>
      <c r="H201" s="3" t="str">
        <f ca="1">IFERROR(__xludf.DUMMYFUNCTION("GOOGLETRANSLATE(B201,""auto"",""en"")"),"Household Cleaning Tools / Supplies")</f>
        <v>Household Cleaning Tools / Supplies</v>
      </c>
      <c r="I201" s="3" t="str">
        <f ca="1">IFERROR(__xludf.DUMMYFUNCTION("GOOGLETRANSLATE(C201,""auto"",""en"")"),"Air Conditioning Cleaner")</f>
        <v>Air Conditioning Cleaner</v>
      </c>
    </row>
    <row r="202" spans="1:9" ht="13" x14ac:dyDescent="0.15">
      <c r="A202" s="2" t="s">
        <v>9</v>
      </c>
      <c r="B202" s="2" t="s">
        <v>189</v>
      </c>
      <c r="C202" s="2" t="s">
        <v>214</v>
      </c>
      <c r="D202" s="3">
        <v>2098759</v>
      </c>
      <c r="E202" s="3">
        <v>98730</v>
      </c>
      <c r="F202" s="3">
        <v>163</v>
      </c>
      <c r="G202" s="3" t="s">
        <v>12</v>
      </c>
      <c r="H202" s="3" t="str">
        <f ca="1">IFERROR(__xludf.DUMMYFUNCTION("GOOGLETRANSLATE(B202,""auto"",""en"")"),"Household Cleaning Tools / Supplies")</f>
        <v>Household Cleaning Tools / Supplies</v>
      </c>
      <c r="I202" s="3" t="str">
        <f ca="1">IFERROR(__xludf.DUMMYFUNCTION("GOOGLETRANSLATE(C202,""auto"",""en"")"),"Purpose Cleaner")</f>
        <v>Purpose Cleaner</v>
      </c>
    </row>
    <row r="203" spans="1:9" ht="13" x14ac:dyDescent="0.15">
      <c r="A203" s="2" t="s">
        <v>9</v>
      </c>
      <c r="B203" s="2" t="s">
        <v>189</v>
      </c>
      <c r="C203" s="2" t="s">
        <v>215</v>
      </c>
      <c r="D203" s="3">
        <v>2098759</v>
      </c>
      <c r="E203" s="3">
        <v>98730</v>
      </c>
      <c r="F203" s="3">
        <v>152</v>
      </c>
      <c r="G203" s="3" t="s">
        <v>12</v>
      </c>
      <c r="H203" s="3" t="str">
        <f ca="1">IFERROR(__xludf.DUMMYFUNCTION("GOOGLETRANSLATE(B203,""auto"",""en"")"),"Household Cleaning Tools / Supplies")</f>
        <v>Household Cleaning Tools / Supplies</v>
      </c>
      <c r="I203" s="3" t="str">
        <f ca="1">IFERROR(__xludf.DUMMYFUNCTION("GOOGLETRANSLATE(C203,""auto"",""en"")"),"Aprons cuff suit")</f>
        <v>Aprons cuff suit</v>
      </c>
    </row>
    <row r="204" spans="1:9" ht="13" x14ac:dyDescent="0.15">
      <c r="A204" s="2" t="s">
        <v>9</v>
      </c>
      <c r="B204" s="2" t="s">
        <v>189</v>
      </c>
      <c r="C204" s="2" t="s">
        <v>216</v>
      </c>
      <c r="D204" s="3">
        <v>2098759</v>
      </c>
      <c r="E204" s="3">
        <v>98730</v>
      </c>
      <c r="F204" s="3">
        <v>110</v>
      </c>
      <c r="G204" s="3" t="s">
        <v>12</v>
      </c>
      <c r="H204" s="3" t="str">
        <f ca="1">IFERROR(__xludf.DUMMYFUNCTION("GOOGLETRANSLATE(B204,""auto"",""en"")"),"Household Cleaning Tools / Supplies")</f>
        <v>Household Cleaning Tools / Supplies</v>
      </c>
      <c r="I204" s="3" t="str">
        <f ca="1">IFERROR(__xludf.DUMMYFUNCTION("GOOGLETRANSLATE(C204,""auto"",""en"")"),"washbasin")</f>
        <v>washbasin</v>
      </c>
    </row>
    <row r="205" spans="1:9" ht="13" x14ac:dyDescent="0.15">
      <c r="A205" s="2" t="s">
        <v>9</v>
      </c>
      <c r="B205" s="2" t="s">
        <v>189</v>
      </c>
      <c r="C205" s="2" t="s">
        <v>217</v>
      </c>
      <c r="D205" s="3">
        <v>2098759</v>
      </c>
      <c r="E205" s="3">
        <v>98730</v>
      </c>
      <c r="F205" s="3">
        <v>99</v>
      </c>
      <c r="G205" s="3" t="s">
        <v>12</v>
      </c>
      <c r="H205" s="3" t="str">
        <f ca="1">IFERROR(__xludf.DUMMYFUNCTION("GOOGLETRANSLATE(B205,""auto"",""en"")"),"Household Cleaning Tools / Supplies")</f>
        <v>Household Cleaning Tools / Supplies</v>
      </c>
      <c r="I205" s="3" t="str">
        <f ca="1">IFERROR(__xludf.DUMMYFUNCTION("GOOGLETRANSLATE(C205,""auto"",""en"")"),"shoe polish")</f>
        <v>shoe polish</v>
      </c>
    </row>
    <row r="206" spans="1:9" ht="13" x14ac:dyDescent="0.15">
      <c r="A206" s="2" t="s">
        <v>9</v>
      </c>
      <c r="B206" s="2" t="s">
        <v>189</v>
      </c>
      <c r="C206" s="2" t="s">
        <v>218</v>
      </c>
      <c r="D206" s="3">
        <v>2098759</v>
      </c>
      <c r="E206" s="3">
        <v>98730</v>
      </c>
      <c r="F206" s="3">
        <v>85</v>
      </c>
      <c r="G206" s="3" t="s">
        <v>12</v>
      </c>
      <c r="H206" s="3" t="str">
        <f ca="1">IFERROR(__xludf.DUMMYFUNCTION("GOOGLETRANSLATE(B206,""auto"",""en"")"),"Household Cleaning Tools / Supplies")</f>
        <v>Household Cleaning Tools / Supplies</v>
      </c>
      <c r="I206" s="3" t="str">
        <f ca="1">IFERROR(__xludf.DUMMYFUNCTION("GOOGLETRANSLATE(C206,""auto"",""en"")"),"Dust Shan / Shan head")</f>
        <v>Dust Shan / Shan head</v>
      </c>
    </row>
    <row r="207" spans="1:9" ht="13" x14ac:dyDescent="0.15">
      <c r="A207" s="2" t="s">
        <v>9</v>
      </c>
      <c r="B207" s="2" t="s">
        <v>189</v>
      </c>
      <c r="C207" s="2" t="s">
        <v>219</v>
      </c>
      <c r="D207" s="3">
        <v>2098759</v>
      </c>
      <c r="E207" s="3">
        <v>98730</v>
      </c>
      <c r="F207" s="3">
        <v>59</v>
      </c>
      <c r="G207" s="3" t="s">
        <v>12</v>
      </c>
      <c r="H207" s="3" t="str">
        <f ca="1">IFERROR(__xludf.DUMMYFUNCTION("GOOGLETRANSLATE(B207,""auto"",""en"")"),"Household Cleaning Tools / Supplies")</f>
        <v>Household Cleaning Tools / Supplies</v>
      </c>
      <c r="I207" s="3" t="str">
        <f ca="1">IFERROR(__xludf.DUMMYFUNCTION("GOOGLETRANSLATE(C207,""auto"",""en"")"),"Scale cleaning agents / detergents")</f>
        <v>Scale cleaning agents / detergents</v>
      </c>
    </row>
    <row r="208" spans="1:9" ht="13" x14ac:dyDescent="0.15">
      <c r="A208" s="2" t="s">
        <v>9</v>
      </c>
      <c r="B208" s="2" t="s">
        <v>189</v>
      </c>
      <c r="C208" s="2" t="s">
        <v>220</v>
      </c>
      <c r="D208" s="3">
        <v>2098759</v>
      </c>
      <c r="E208" s="3">
        <v>98730</v>
      </c>
      <c r="F208" s="3">
        <v>27</v>
      </c>
      <c r="G208" s="3" t="s">
        <v>12</v>
      </c>
      <c r="H208" s="3" t="str">
        <f ca="1">IFERROR(__xludf.DUMMYFUNCTION("GOOGLETRANSLATE(B208,""auto"",""en"")"),"Household Cleaning Tools / Supplies")</f>
        <v>Household Cleaning Tools / Supplies</v>
      </c>
      <c r="I208" s="3" t="str">
        <f ca="1">IFERROR(__xludf.DUMMYFUNCTION("GOOGLETRANSLATE(C208,""auto"",""en"")"),"Floor cleaning / maintenance agents")</f>
        <v>Floor cleaning / maintenance agents</v>
      </c>
    </row>
    <row r="209" spans="1:9" ht="13" x14ac:dyDescent="0.15">
      <c r="A209" s="2" t="s">
        <v>9</v>
      </c>
      <c r="B209" s="2" t="s">
        <v>189</v>
      </c>
      <c r="C209" s="2" t="s">
        <v>221</v>
      </c>
      <c r="D209" s="3">
        <v>2098759</v>
      </c>
      <c r="E209" s="3">
        <v>98730</v>
      </c>
      <c r="F209" s="3">
        <v>24</v>
      </c>
      <c r="G209" s="3" t="s">
        <v>12</v>
      </c>
      <c r="H209" s="3" t="str">
        <f ca="1">IFERROR(__xludf.DUMMYFUNCTION("GOOGLETRANSLATE(B209,""auto"",""en"")"),"Household Cleaning Tools / Supplies")</f>
        <v>Household Cleaning Tools / Supplies</v>
      </c>
      <c r="I209" s="3" t="str">
        <f ca="1">IFERROR(__xludf.DUMMYFUNCTION("GOOGLETRANSLATE(C209,""auto"",""en"")"),"Water drag")</f>
        <v>Water drag</v>
      </c>
    </row>
    <row r="210" spans="1:9" ht="13" x14ac:dyDescent="0.15">
      <c r="A210" s="2" t="s">
        <v>9</v>
      </c>
      <c r="B210" s="2" t="s">
        <v>189</v>
      </c>
      <c r="C210" s="2" t="s">
        <v>222</v>
      </c>
      <c r="D210" s="3">
        <v>2098759</v>
      </c>
      <c r="E210" s="3">
        <v>98730</v>
      </c>
      <c r="F210" s="3">
        <v>21</v>
      </c>
      <c r="G210" s="3" t="s">
        <v>12</v>
      </c>
      <c r="H210" s="3" t="str">
        <f ca="1">IFERROR(__xludf.DUMMYFUNCTION("GOOGLETRANSLATE(B210,""auto"",""en"")"),"Household Cleaning Tools / Supplies")</f>
        <v>Household Cleaning Tools / Supplies</v>
      </c>
      <c r="I210" s="3" t="str">
        <f ca="1">IFERROR(__xludf.DUMMYFUNCTION("GOOGLETRANSLATE(C210,""auto"",""en"")"),"Glass Cleaner")</f>
        <v>Glass Cleaner</v>
      </c>
    </row>
    <row r="211" spans="1:9" ht="13" x14ac:dyDescent="0.15">
      <c r="A211" s="2" t="s">
        <v>9</v>
      </c>
      <c r="B211" s="2" t="s">
        <v>189</v>
      </c>
      <c r="C211" s="2" t="s">
        <v>223</v>
      </c>
      <c r="D211" s="3">
        <v>2098759</v>
      </c>
      <c r="E211" s="3">
        <v>98730</v>
      </c>
      <c r="F211" s="3">
        <v>19</v>
      </c>
      <c r="G211" s="3" t="s">
        <v>12</v>
      </c>
      <c r="H211" s="3" t="str">
        <f ca="1">IFERROR(__xludf.DUMMYFUNCTION("GOOGLETRANSLATE(B211,""auto"",""en"")"),"Household Cleaning Tools / Supplies")</f>
        <v>Household Cleaning Tools / Supplies</v>
      </c>
      <c r="I211" s="3" t="str">
        <f ca="1">IFERROR(__xludf.DUMMYFUNCTION("GOOGLETRANSLATE(C211,""auto"",""en"")"),"bucket")</f>
        <v>bucket</v>
      </c>
    </row>
    <row r="212" spans="1:9" ht="13" x14ac:dyDescent="0.15">
      <c r="A212" s="2" t="s">
        <v>9</v>
      </c>
      <c r="B212" s="2" t="s">
        <v>189</v>
      </c>
      <c r="C212" s="2" t="s">
        <v>224</v>
      </c>
      <c r="D212" s="3">
        <v>2098759</v>
      </c>
      <c r="E212" s="3">
        <v>98730</v>
      </c>
      <c r="F212" s="3">
        <v>16</v>
      </c>
      <c r="G212" s="3" t="s">
        <v>12</v>
      </c>
      <c r="H212" s="3" t="str">
        <f ca="1">IFERROR(__xludf.DUMMYFUNCTION("GOOGLETRANSLATE(B212,""auto"",""en"")"),"Household Cleaning Tools / Supplies")</f>
        <v>Household Cleaning Tools / Supplies</v>
      </c>
      <c r="I212" s="3" t="str">
        <f ca="1">IFERROR(__xludf.DUMMYFUNCTION("GOOGLETRANSLATE(C212,""auto"",""en"")"),"Furniture cleaning / care agent")</f>
        <v>Furniture cleaning / care agent</v>
      </c>
    </row>
    <row r="213" spans="1:9" ht="13" x14ac:dyDescent="0.15">
      <c r="A213" s="2" t="s">
        <v>9</v>
      </c>
      <c r="B213" s="2" t="s">
        <v>189</v>
      </c>
      <c r="C213" s="2" t="s">
        <v>225</v>
      </c>
      <c r="D213" s="3">
        <v>2098759</v>
      </c>
      <c r="E213" s="3">
        <v>98730</v>
      </c>
      <c r="F213" s="3">
        <v>15</v>
      </c>
      <c r="G213" s="3" t="s">
        <v>12</v>
      </c>
      <c r="H213" s="3" t="str">
        <f ca="1">IFERROR(__xludf.DUMMYFUNCTION("GOOGLETRANSLATE(B213,""auto"",""en"")"),"Household Cleaning Tools / Supplies")</f>
        <v>Household Cleaning Tools / Supplies</v>
      </c>
      <c r="I213" s="3" t="str">
        <f ca="1">IFERROR(__xludf.DUMMYFUNCTION("GOOGLETRANSLATE(C213,""auto"",""en"")"),"dustpan")</f>
        <v>dustpan</v>
      </c>
    </row>
    <row r="214" spans="1:9" ht="13" x14ac:dyDescent="0.15">
      <c r="A214" s="2" t="s">
        <v>9</v>
      </c>
      <c r="B214" s="2" t="s">
        <v>189</v>
      </c>
      <c r="C214" s="2" t="s">
        <v>226</v>
      </c>
      <c r="D214" s="3">
        <v>2098759</v>
      </c>
      <c r="E214" s="3">
        <v>98730</v>
      </c>
      <c r="F214" s="3">
        <v>6</v>
      </c>
      <c r="G214" s="3" t="s">
        <v>12</v>
      </c>
      <c r="H214" s="3" t="str">
        <f ca="1">IFERROR(__xludf.DUMMYFUNCTION("GOOGLETRANSLATE(B214,""auto"",""en"")"),"Household Cleaning Tools / Supplies")</f>
        <v>Household Cleaning Tools / Supplies</v>
      </c>
      <c r="I214" s="3" t="str">
        <f ca="1">IFERROR(__xludf.DUMMYFUNCTION("GOOGLETRANSLATE(C214,""auto"",""en"")"),"Wall addition to mold agent")</f>
        <v>Wall addition to mold agent</v>
      </c>
    </row>
    <row r="215" spans="1:9" ht="13" x14ac:dyDescent="0.15">
      <c r="A215" s="2" t="s">
        <v>9</v>
      </c>
      <c r="B215" s="2" t="s">
        <v>189</v>
      </c>
      <c r="C215" s="2" t="s">
        <v>227</v>
      </c>
      <c r="D215" s="3">
        <v>2098759</v>
      </c>
      <c r="E215" s="3">
        <v>98730</v>
      </c>
      <c r="F215" s="3">
        <v>6</v>
      </c>
      <c r="G215" s="3" t="s">
        <v>12</v>
      </c>
      <c r="H215" s="3" t="str">
        <f ca="1">IFERROR(__xludf.DUMMYFUNCTION("GOOGLETRANSLATE(B215,""auto"",""en"")"),"Household Cleaning Tools / Supplies")</f>
        <v>Household Cleaning Tools / Supplies</v>
      </c>
      <c r="I215" s="3" t="str">
        <f ca="1">IFERROR(__xludf.DUMMYFUNCTION("GOOGLETRANSLATE(C215,""auto"",""en"")"),"Desktop Cleaning Kit")</f>
        <v>Desktop Cleaning Kit</v>
      </c>
    </row>
    <row r="216" spans="1:9" ht="13" x14ac:dyDescent="0.15">
      <c r="A216" s="2" t="s">
        <v>9</v>
      </c>
      <c r="B216" s="2" t="s">
        <v>189</v>
      </c>
      <c r="C216" s="2" t="s">
        <v>228</v>
      </c>
      <c r="D216" s="3">
        <v>2098759</v>
      </c>
      <c r="E216" s="3">
        <v>98730</v>
      </c>
      <c r="F216" s="3">
        <v>5</v>
      </c>
      <c r="G216" s="3" t="s">
        <v>12</v>
      </c>
      <c r="H216" s="3" t="str">
        <f ca="1">IFERROR(__xludf.DUMMYFUNCTION("GOOGLETRANSLATE(B216,""auto"",""en"")"),"Household Cleaning Tools / Supplies")</f>
        <v>Household Cleaning Tools / Supplies</v>
      </c>
      <c r="I216" s="3" t="str">
        <f ca="1">IFERROR(__xludf.DUMMYFUNCTION("GOOGLETRANSLATE(C216,""auto"",""en"")"),"Trash folder")</f>
        <v>Trash folder</v>
      </c>
    </row>
    <row r="217" spans="1:9" ht="13" x14ac:dyDescent="0.15">
      <c r="A217" s="2" t="s">
        <v>9</v>
      </c>
      <c r="B217" s="2" t="s">
        <v>189</v>
      </c>
      <c r="C217" s="2" t="s">
        <v>229</v>
      </c>
      <c r="D217" s="3">
        <v>2098759</v>
      </c>
      <c r="E217" s="3">
        <v>98730</v>
      </c>
      <c r="F217" s="3">
        <v>5</v>
      </c>
      <c r="G217" s="3" t="s">
        <v>12</v>
      </c>
      <c r="H217" s="3" t="str">
        <f ca="1">IFERROR(__xludf.DUMMYFUNCTION("GOOGLETRANSLATE(B217,""auto"",""en"")"),"Household Cleaning Tools / Supplies")</f>
        <v>Household Cleaning Tools / Supplies</v>
      </c>
      <c r="I217" s="3" t="str">
        <f ca="1">IFERROR(__xludf.DUMMYFUNCTION("GOOGLETRANSLATE(C217,""auto"",""en"")"),"Clean and slippers")</f>
        <v>Clean and slippers</v>
      </c>
    </row>
    <row r="218" spans="1:9" ht="13" x14ac:dyDescent="0.15">
      <c r="A218" s="2" t="s">
        <v>9</v>
      </c>
      <c r="B218" s="2" t="s">
        <v>189</v>
      </c>
      <c r="C218" s="2" t="s">
        <v>230</v>
      </c>
      <c r="D218" s="3">
        <v>2098759</v>
      </c>
      <c r="E218" s="3">
        <v>98730</v>
      </c>
      <c r="F218" s="3">
        <v>4</v>
      </c>
      <c r="G218" s="3" t="s">
        <v>12</v>
      </c>
      <c r="H218" s="3" t="str">
        <f ca="1">IFERROR(__xludf.DUMMYFUNCTION("GOOGLETRANSLATE(B218,""auto"",""en"")"),"Household Cleaning Tools / Supplies")</f>
        <v>Household Cleaning Tools / Supplies</v>
      </c>
      <c r="I218" s="3" t="str">
        <f ca="1">IFERROR(__xludf.DUMMYFUNCTION("GOOGLETRANSLATE(C218,""auto"",""en"")"),"Clean porcelain agent")</f>
        <v>Clean porcelain agent</v>
      </c>
    </row>
    <row r="219" spans="1:9" ht="13" x14ac:dyDescent="0.15">
      <c r="A219" s="2" t="s">
        <v>9</v>
      </c>
      <c r="B219" s="2" t="s">
        <v>189</v>
      </c>
      <c r="C219" s="2" t="s">
        <v>231</v>
      </c>
      <c r="D219" s="3">
        <v>2098759</v>
      </c>
      <c r="E219" s="3">
        <v>98730</v>
      </c>
      <c r="F219" s="3">
        <v>4</v>
      </c>
      <c r="G219" s="3" t="s">
        <v>12</v>
      </c>
      <c r="H219" s="3" t="str">
        <f ca="1">IFERROR(__xludf.DUMMYFUNCTION("GOOGLETRANSLATE(B219,""auto"",""en"")"),"Household Cleaning Tools / Supplies")</f>
        <v>Household Cleaning Tools / Supplies</v>
      </c>
      <c r="I219" s="3" t="str">
        <f ca="1">IFERROR(__xludf.DUMMYFUNCTION("GOOGLETRANSLATE(C219,""auto"",""en"")"),"Electrostatic dust paper")</f>
        <v>Electrostatic dust paper</v>
      </c>
    </row>
    <row r="220" spans="1:9" ht="13" x14ac:dyDescent="0.15">
      <c r="A220" s="2" t="s">
        <v>9</v>
      </c>
      <c r="B220" s="2" t="s">
        <v>189</v>
      </c>
      <c r="C220" s="2" t="s">
        <v>232</v>
      </c>
      <c r="D220" s="3">
        <v>2098759</v>
      </c>
      <c r="E220" s="3">
        <v>98730</v>
      </c>
      <c r="F220" s="3">
        <v>3</v>
      </c>
      <c r="G220" s="3" t="s">
        <v>12</v>
      </c>
      <c r="H220" s="3" t="str">
        <f ca="1">IFERROR(__xludf.DUMMYFUNCTION("GOOGLETRANSLATE(B220,""auto"",""en"")"),"Household Cleaning Tools / Supplies")</f>
        <v>Household Cleaning Tools / Supplies</v>
      </c>
      <c r="I220" s="3" t="str">
        <f ca="1">IFERROR(__xludf.DUMMYFUNCTION("GOOGLETRANSLATE(C220,""auto"",""en"")"),"Small vacuum cleaner")</f>
        <v>Small vacuum cleaner</v>
      </c>
    </row>
    <row r="221" spans="1:9" ht="13" x14ac:dyDescent="0.15">
      <c r="A221" s="2" t="s">
        <v>9</v>
      </c>
      <c r="B221" s="2" t="s">
        <v>189</v>
      </c>
      <c r="C221" s="2" t="s">
        <v>233</v>
      </c>
      <c r="D221" s="3">
        <v>2098759</v>
      </c>
      <c r="E221" s="3">
        <v>98730</v>
      </c>
      <c r="F221" s="3">
        <v>1</v>
      </c>
      <c r="G221" s="3" t="s">
        <v>12</v>
      </c>
      <c r="H221" s="3" t="str">
        <f ca="1">IFERROR(__xludf.DUMMYFUNCTION("GOOGLETRANSLATE(B221,""auto"",""en"")"),"Household Cleaning Tools / Supplies")</f>
        <v>Household Cleaning Tools / Supplies</v>
      </c>
      <c r="I221" s="3" t="str">
        <f ca="1">IFERROR(__xludf.DUMMYFUNCTION("GOOGLETRANSLATE(C221,""auto"",""en"")"),"Cleaner cloth supplies")</f>
        <v>Cleaner cloth supplies</v>
      </c>
    </row>
    <row r="222" spans="1:9" ht="13" x14ac:dyDescent="0.15">
      <c r="A222" s="2" t="s">
        <v>9</v>
      </c>
      <c r="B222" s="2" t="s">
        <v>234</v>
      </c>
      <c r="C222" s="2" t="s">
        <v>235</v>
      </c>
      <c r="D222" s="3">
        <v>2098759</v>
      </c>
      <c r="E222" s="3">
        <v>33407</v>
      </c>
      <c r="F222" s="3">
        <v>6152</v>
      </c>
      <c r="G222" s="3" t="s">
        <v>12</v>
      </c>
      <c r="H222" s="3" t="str">
        <f ca="1">IFERROR(__xludf.DUMMYFUNCTION("GOOGLETRANSLATE(B222,""auto"",""en"")"),"Kitchen / Cooking / Baking utensils")</f>
        <v>Kitchen / Cooking / Baking utensils</v>
      </c>
      <c r="I222" s="3" t="str">
        <f ca="1">IFERROR(__xludf.DUMMYFUNCTION("GOOGLETRANSLATE(C222,""auto"",""en"")"),"Kitchen Tool Set")</f>
        <v>Kitchen Tool Set</v>
      </c>
    </row>
    <row r="223" spans="1:9" ht="13" x14ac:dyDescent="0.15">
      <c r="A223" s="2" t="s">
        <v>9</v>
      </c>
      <c r="B223" s="2" t="s">
        <v>234</v>
      </c>
      <c r="C223" s="3" t="s">
        <v>236</v>
      </c>
      <c r="D223" s="3">
        <v>2098759</v>
      </c>
      <c r="E223" s="3">
        <v>33407</v>
      </c>
      <c r="F223" s="3">
        <v>5937</v>
      </c>
      <c r="G223" s="3" t="s">
        <v>12</v>
      </c>
      <c r="H223" s="3" t="str">
        <f ca="1">IFERROR(__xludf.DUMMYFUNCTION("GOOGLETRANSLATE(B223,""auto"",""en"")"),"Kitchen / Cooking / Baking utensils")</f>
        <v>Kitchen / Cooking / Baking utensils</v>
      </c>
      <c r="I223" s="3" t="str">
        <f ca="1">IFERROR(__xludf.DUMMYFUNCTION("GOOGLETRANSLATE(C223,""auto"",""en"")"),"DIY mold")</f>
        <v>DIY mold</v>
      </c>
    </row>
    <row r="224" spans="1:9" ht="13" x14ac:dyDescent="0.15">
      <c r="A224" s="2" t="s">
        <v>9</v>
      </c>
      <c r="B224" s="2" t="s">
        <v>234</v>
      </c>
      <c r="C224" s="2" t="s">
        <v>237</v>
      </c>
      <c r="D224" s="3">
        <v>2098759</v>
      </c>
      <c r="E224" s="3">
        <v>33407</v>
      </c>
      <c r="F224" s="3">
        <v>3345</v>
      </c>
      <c r="G224" s="3" t="s">
        <v>12</v>
      </c>
      <c r="H224" s="3" t="str">
        <f ca="1">IFERROR(__xludf.DUMMYFUNCTION("GOOGLETRANSLATE(B224,""auto"",""en"")"),"Kitchen / Cooking / Baking utensils")</f>
        <v>Kitchen / Cooking / Baking utensils</v>
      </c>
      <c r="I224" s="3" t="str">
        <f ca="1">IFERROR(__xludf.DUMMYFUNCTION("GOOGLETRANSLATE(C224,""auto"",""en"")"),"Kitchen shelving / angle bracket / wall, etc.")</f>
        <v>Kitchen shelving / angle bracket / wall, etc.</v>
      </c>
    </row>
    <row r="225" spans="1:9" ht="13" x14ac:dyDescent="0.15">
      <c r="A225" s="2" t="s">
        <v>9</v>
      </c>
      <c r="B225" s="2" t="s">
        <v>234</v>
      </c>
      <c r="C225" s="2" t="s">
        <v>238</v>
      </c>
      <c r="D225" s="3">
        <v>2098759</v>
      </c>
      <c r="E225" s="3">
        <v>33407</v>
      </c>
      <c r="F225" s="3">
        <v>2821</v>
      </c>
      <c r="G225" s="3" t="s">
        <v>12</v>
      </c>
      <c r="H225" s="3" t="str">
        <f ca="1">IFERROR(__xludf.DUMMYFUNCTION("GOOGLETRANSLATE(B225,""auto"",""en"")"),"Kitchen / Cooking / Baking utensils")</f>
        <v>Kitchen / Cooking / Baking utensils</v>
      </c>
      <c r="I225" s="3" t="str">
        <f ca="1">IFERROR(__xludf.DUMMYFUNCTION("GOOGLETRANSLATE(C225,""auto"",""en"")"),"Lattice ice / ice machine")</f>
        <v>Lattice ice / ice machine</v>
      </c>
    </row>
    <row r="226" spans="1:9" ht="13" x14ac:dyDescent="0.15">
      <c r="A226" s="2" t="s">
        <v>9</v>
      </c>
      <c r="B226" s="2" t="s">
        <v>234</v>
      </c>
      <c r="C226" s="2" t="s">
        <v>239</v>
      </c>
      <c r="D226" s="3">
        <v>2098759</v>
      </c>
      <c r="E226" s="3">
        <v>33407</v>
      </c>
      <c r="F226" s="3">
        <v>2720</v>
      </c>
      <c r="G226" s="3" t="s">
        <v>12</v>
      </c>
      <c r="H226" s="3" t="str">
        <f ca="1">IFERROR(__xludf.DUMMYFUNCTION("GOOGLETRANSLATE(B226,""auto"",""en"")"),"Kitchen / Cooking / Baking utensils")</f>
        <v>Kitchen / Cooking / Baking utensils</v>
      </c>
      <c r="I226" s="3" t="str">
        <f ca="1">IFERROR(__xludf.DUMMYFUNCTION("GOOGLETRANSLATE(C226,""auto"",""en"")"),"Kitchen storage containers")</f>
        <v>Kitchen storage containers</v>
      </c>
    </row>
    <row r="227" spans="1:9" ht="13" x14ac:dyDescent="0.15">
      <c r="A227" s="2" t="s">
        <v>9</v>
      </c>
      <c r="B227" s="2" t="s">
        <v>234</v>
      </c>
      <c r="C227" s="2" t="s">
        <v>240</v>
      </c>
      <c r="D227" s="3">
        <v>2098759</v>
      </c>
      <c r="E227" s="3">
        <v>33407</v>
      </c>
      <c r="F227" s="3">
        <v>2253</v>
      </c>
      <c r="G227" s="3" t="s">
        <v>12</v>
      </c>
      <c r="H227" s="3" t="str">
        <f ca="1">IFERROR(__xludf.DUMMYFUNCTION("GOOGLETRANSLATE(B227,""auto"",""en"")"),"Kitchen / Cooking / Baking utensils")</f>
        <v>Kitchen / Cooking / Baking utensils</v>
      </c>
      <c r="I227" s="3" t="str">
        <f ca="1">IFERROR(__xludf.DUMMYFUNCTION("GOOGLETRANSLATE(C227,""auto"",""en"")"),"pot")</f>
        <v>pot</v>
      </c>
    </row>
    <row r="228" spans="1:9" ht="13" x14ac:dyDescent="0.15">
      <c r="A228" s="2" t="s">
        <v>9</v>
      </c>
      <c r="B228" s="2" t="s">
        <v>234</v>
      </c>
      <c r="C228" s="2" t="s">
        <v>241</v>
      </c>
      <c r="D228" s="3">
        <v>2098759</v>
      </c>
      <c r="E228" s="3">
        <v>33407</v>
      </c>
      <c r="F228" s="3">
        <v>1809</v>
      </c>
      <c r="G228" s="3" t="s">
        <v>12</v>
      </c>
      <c r="H228" s="3" t="str">
        <f ca="1">IFERROR(__xludf.DUMMYFUNCTION("GOOGLETRANSLATE(B228,""auto"",""en"")"),"Kitchen / Cooking / Baking utensils")</f>
        <v>Kitchen / Cooking / Baking utensils</v>
      </c>
      <c r="I228" s="3" t="str">
        <f ca="1">IFERROR(__xludf.DUMMYFUNCTION("GOOGLETRANSLATE(C228,""auto"",""en"")"),"Manual Juicer")</f>
        <v>Manual Juicer</v>
      </c>
    </row>
    <row r="229" spans="1:9" ht="13" x14ac:dyDescent="0.15">
      <c r="A229" s="2" t="s">
        <v>9</v>
      </c>
      <c r="B229" s="2" t="s">
        <v>234</v>
      </c>
      <c r="C229" s="2" t="s">
        <v>242</v>
      </c>
      <c r="D229" s="3">
        <v>2098759</v>
      </c>
      <c r="E229" s="3">
        <v>33407</v>
      </c>
      <c r="F229" s="3">
        <v>904</v>
      </c>
      <c r="G229" s="3" t="s">
        <v>12</v>
      </c>
      <c r="H229" s="3" t="str">
        <f ca="1">IFERROR(__xludf.DUMMYFUNCTION("GOOGLETRANSLATE(B229,""auto"",""en"")"),"Kitchen / Cooking / Baking utensils")</f>
        <v>Kitchen / Cooking / Baking utensils</v>
      </c>
      <c r="I229" s="3" t="str">
        <f ca="1">IFERROR(__xludf.DUMMYFUNCTION("GOOGLETRANSLATE(C229,""auto"",""en"")"),"Chopping / cutting board")</f>
        <v>Chopping / cutting board</v>
      </c>
    </row>
    <row r="230" spans="1:9" ht="13" x14ac:dyDescent="0.15">
      <c r="A230" s="2" t="s">
        <v>9</v>
      </c>
      <c r="B230" s="2" t="s">
        <v>234</v>
      </c>
      <c r="C230" s="2" t="s">
        <v>243</v>
      </c>
      <c r="D230" s="3">
        <v>2098759</v>
      </c>
      <c r="E230" s="3">
        <v>33407</v>
      </c>
      <c r="F230" s="3">
        <v>846</v>
      </c>
      <c r="G230" s="3" t="s">
        <v>12</v>
      </c>
      <c r="H230" s="3" t="str">
        <f ca="1">IFERROR(__xludf.DUMMYFUNCTION("GOOGLETRANSLATE(B230,""auto"",""en"")"),"Kitchen / Cooking / Baking utensils")</f>
        <v>Kitchen / Cooking / Baking utensils</v>
      </c>
      <c r="I230" s="3" t="str">
        <f ca="1">IFERROR(__xludf.DUMMYFUNCTION("GOOGLETRANSLATE(C230,""auto"",""en"")"),"Tool")</f>
        <v>Tool</v>
      </c>
    </row>
    <row r="231" spans="1:9" ht="13" x14ac:dyDescent="0.15">
      <c r="A231" s="2" t="s">
        <v>9</v>
      </c>
      <c r="B231" s="2" t="s">
        <v>234</v>
      </c>
      <c r="C231" s="2" t="s">
        <v>244</v>
      </c>
      <c r="D231" s="3">
        <v>2098759</v>
      </c>
      <c r="E231" s="3">
        <v>33407</v>
      </c>
      <c r="F231" s="3">
        <v>767</v>
      </c>
      <c r="G231" s="3" t="s">
        <v>12</v>
      </c>
      <c r="H231" s="3" t="str">
        <f ca="1">IFERROR(__xludf.DUMMYFUNCTION("GOOGLETRANSLATE(B231,""auto"",""en"")"),"Kitchen / Cooking / Baking utensils")</f>
        <v>Kitchen / Cooking / Baking utensils</v>
      </c>
      <c r="I231" s="3" t="str">
        <f ca="1">IFERROR(__xludf.DUMMYFUNCTION("GOOGLETRANSLATE(C231,""auto"",""en"")"),"Tool holder / pot rack")</f>
        <v>Tool holder / pot rack</v>
      </c>
    </row>
    <row r="232" spans="1:9" ht="13" x14ac:dyDescent="0.15">
      <c r="A232" s="2" t="s">
        <v>9</v>
      </c>
      <c r="B232" s="2" t="s">
        <v>234</v>
      </c>
      <c r="C232" s="2" t="s">
        <v>245</v>
      </c>
      <c r="D232" s="3">
        <v>2098759</v>
      </c>
      <c r="E232" s="3">
        <v>33407</v>
      </c>
      <c r="F232" s="3">
        <v>651</v>
      </c>
      <c r="G232" s="3" t="s">
        <v>12</v>
      </c>
      <c r="H232" s="3" t="str">
        <f ca="1">IFERROR(__xludf.DUMMYFUNCTION("GOOGLETRANSLATE(B232,""auto"",""en"")"),"Kitchen / Cooking / Baking utensils")</f>
        <v>Kitchen / Cooking / Baking utensils</v>
      </c>
      <c r="I232" s="3" t="str">
        <f ca="1">IFERROR(__xludf.DUMMYFUNCTION("GOOGLETRANSLATE(C232,""auto"",""en"")"),"Peeling garlic / garlic press")</f>
        <v>Peeling garlic / garlic press</v>
      </c>
    </row>
    <row r="233" spans="1:9" ht="13" x14ac:dyDescent="0.15">
      <c r="A233" s="2" t="s">
        <v>9</v>
      </c>
      <c r="B233" s="2" t="s">
        <v>234</v>
      </c>
      <c r="C233" s="2" t="s">
        <v>246</v>
      </c>
      <c r="D233" s="3">
        <v>2098759</v>
      </c>
      <c r="E233" s="3">
        <v>33407</v>
      </c>
      <c r="F233" s="3">
        <v>526</v>
      </c>
      <c r="G233" s="3" t="s">
        <v>12</v>
      </c>
      <c r="H233" s="3" t="str">
        <f ca="1">IFERROR(__xludf.DUMMYFUNCTION("GOOGLETRANSLATE(B233,""auto"",""en"")"),"Kitchen / Cooking / Baking utensils")</f>
        <v>Kitchen / Cooking / Baking utensils</v>
      </c>
      <c r="I233" s="3" t="str">
        <f ca="1">IFERROR(__xludf.DUMMYFUNCTION("GOOGLETRANSLATE(C233,""auto"",""en"")"),"Water filter / purifier")</f>
        <v>Water filter / purifier</v>
      </c>
    </row>
    <row r="234" spans="1:9" ht="13" x14ac:dyDescent="0.15">
      <c r="A234" s="2" t="s">
        <v>9</v>
      </c>
      <c r="B234" s="2" t="s">
        <v>234</v>
      </c>
      <c r="C234" s="2" t="s">
        <v>247</v>
      </c>
      <c r="D234" s="3">
        <v>2098759</v>
      </c>
      <c r="E234" s="3">
        <v>33407</v>
      </c>
      <c r="F234" s="3">
        <v>423</v>
      </c>
      <c r="G234" s="3" t="s">
        <v>12</v>
      </c>
      <c r="H234" s="3" t="str">
        <f ca="1">IFERROR(__xludf.DUMMYFUNCTION("GOOGLETRANSLATE(B234,""auto"",""en"")"),"Kitchen / Cooking / Baking utensils")</f>
        <v>Kitchen / Cooking / Baking utensils</v>
      </c>
      <c r="I234" s="3" t="str">
        <f ca="1">IFERROR(__xludf.DUMMYFUNCTION("GOOGLETRANSLATE(C234,""auto"",""en"")"),"Fruit slicer")</f>
        <v>Fruit slicer</v>
      </c>
    </row>
    <row r="235" spans="1:9" ht="13" x14ac:dyDescent="0.15">
      <c r="A235" s="2" t="s">
        <v>9</v>
      </c>
      <c r="B235" s="2" t="s">
        <v>234</v>
      </c>
      <c r="C235" s="2" t="s">
        <v>248</v>
      </c>
      <c r="D235" s="3">
        <v>2098759</v>
      </c>
      <c r="E235" s="3">
        <v>33407</v>
      </c>
      <c r="F235" s="3">
        <v>304</v>
      </c>
      <c r="G235" s="3" t="s">
        <v>12</v>
      </c>
      <c r="H235" s="3" t="str">
        <f ca="1">IFERROR(__xludf.DUMMYFUNCTION("GOOGLETRANSLATE(B235,""auto"",""en"")"),"Kitchen / Cooking / Baking utensils")</f>
        <v>Kitchen / Cooking / Baking utensils</v>
      </c>
      <c r="I235" s="3" t="str">
        <f ca="1">IFERROR(__xludf.DUMMYFUNCTION("GOOGLETRANSLATE(C235,""auto"",""en"")"),"Baking molds")</f>
        <v>Baking molds</v>
      </c>
    </row>
    <row r="236" spans="1:9" ht="13" x14ac:dyDescent="0.15">
      <c r="A236" s="2" t="s">
        <v>9</v>
      </c>
      <c r="B236" s="2" t="s">
        <v>234</v>
      </c>
      <c r="C236" s="2" t="s">
        <v>249</v>
      </c>
      <c r="D236" s="3">
        <v>2098759</v>
      </c>
      <c r="E236" s="3">
        <v>33407</v>
      </c>
      <c r="F236" s="3">
        <v>298</v>
      </c>
      <c r="G236" s="3" t="s">
        <v>12</v>
      </c>
      <c r="H236" s="3" t="str">
        <f ca="1">IFERROR(__xludf.DUMMYFUNCTION("GOOGLETRANSLATE(B236,""auto"",""en"")"),"Kitchen / Cooking / Baking utensils")</f>
        <v>Kitchen / Cooking / Baking utensils</v>
      </c>
      <c r="I236" s="3" t="str">
        <f ca="1">IFERROR(__xludf.DUMMYFUNCTION("GOOGLETRANSLATE(C236,""auto"",""en"")"),"Meat grinder / meat treasure")</f>
        <v>Meat grinder / meat treasure</v>
      </c>
    </row>
    <row r="237" spans="1:9" ht="13" x14ac:dyDescent="0.15">
      <c r="A237" s="2" t="s">
        <v>9</v>
      </c>
      <c r="B237" s="2" t="s">
        <v>234</v>
      </c>
      <c r="C237" s="2" t="s">
        <v>250</v>
      </c>
      <c r="D237" s="3">
        <v>2098759</v>
      </c>
      <c r="E237" s="3">
        <v>33407</v>
      </c>
      <c r="F237" s="3">
        <v>287</v>
      </c>
      <c r="G237" s="3" t="s">
        <v>12</v>
      </c>
      <c r="H237" s="3" t="str">
        <f ca="1">IFERROR(__xludf.DUMMYFUNCTION("GOOGLETRANSLATE(B237,""auto"",""en"")"),"Kitchen / Cooking / Baking utensils")</f>
        <v>Kitchen / Cooking / Baking utensils</v>
      </c>
      <c r="I237" s="3" t="str">
        <f ca="1">IFERROR(__xludf.DUMMYFUNCTION("GOOGLETRANSLATE(C237,""auto"",""en"")"),"Pasta machine / pressing machine")</f>
        <v>Pasta machine / pressing machine</v>
      </c>
    </row>
    <row r="238" spans="1:9" ht="13" x14ac:dyDescent="0.15">
      <c r="A238" s="2" t="s">
        <v>9</v>
      </c>
      <c r="B238" s="2" t="s">
        <v>234</v>
      </c>
      <c r="C238" s="2" t="s">
        <v>251</v>
      </c>
      <c r="D238" s="3">
        <v>2098759</v>
      </c>
      <c r="E238" s="3">
        <v>33407</v>
      </c>
      <c r="F238" s="3">
        <v>265</v>
      </c>
      <c r="G238" s="3" t="s">
        <v>12</v>
      </c>
      <c r="H238" s="3" t="str">
        <f ca="1">IFERROR(__xludf.DUMMYFUNCTION("GOOGLETRANSLATE(B238,""auto"",""en"")"),"Kitchen / Cooking / Baking utensils")</f>
        <v>Kitchen / Cooking / Baking utensils</v>
      </c>
      <c r="I238" s="3" t="str">
        <f ca="1">IFERROR(__xludf.DUMMYFUNCTION("GOOGLETRANSLATE(C238,""auto"",""en"")"),"Hand pressure drinkers")</f>
        <v>Hand pressure drinkers</v>
      </c>
    </row>
    <row r="239" spans="1:9" ht="13" x14ac:dyDescent="0.15">
      <c r="A239" s="2" t="s">
        <v>9</v>
      </c>
      <c r="B239" s="2" t="s">
        <v>234</v>
      </c>
      <c r="C239" s="2" t="s">
        <v>252</v>
      </c>
      <c r="D239" s="3">
        <v>2098759</v>
      </c>
      <c r="E239" s="3">
        <v>33407</v>
      </c>
      <c r="F239" s="3">
        <v>257</v>
      </c>
      <c r="G239" s="3" t="s">
        <v>12</v>
      </c>
      <c r="H239" s="3" t="str">
        <f ca="1">IFERROR(__xludf.DUMMYFUNCTION("GOOGLETRANSLATE(B239,""auto"",""en"")"),"Kitchen / Cooking / Baking utensils")</f>
        <v>Kitchen / Cooking / Baking utensils</v>
      </c>
      <c r="I239" s="3" t="str">
        <f ca="1">IFERROR(__xludf.DUMMYFUNCTION("GOOGLETRANSLATE(C239,""auto"",""en"")"),"Multifunctional Vegetable Cutter")</f>
        <v>Multifunctional Vegetable Cutter</v>
      </c>
    </row>
    <row r="240" spans="1:9" ht="13" x14ac:dyDescent="0.15">
      <c r="A240" s="2" t="s">
        <v>9</v>
      </c>
      <c r="B240" s="2" t="s">
        <v>234</v>
      </c>
      <c r="C240" s="2" t="s">
        <v>253</v>
      </c>
      <c r="D240" s="3">
        <v>2098759</v>
      </c>
      <c r="E240" s="3">
        <v>33407</v>
      </c>
      <c r="F240" s="3">
        <v>251</v>
      </c>
      <c r="G240" s="3" t="s">
        <v>12</v>
      </c>
      <c r="H240" s="3" t="str">
        <f ca="1">IFERROR(__xludf.DUMMYFUNCTION("GOOGLETRANSLATE(B240,""auto"",""en"")"),"Kitchen / Cooking / Baking utensils")</f>
        <v>Kitchen / Cooking / Baking utensils</v>
      </c>
      <c r="I240" s="3" t="str">
        <f ca="1">IFERROR(__xludf.DUMMYFUNCTION("GOOGLETRANSLATE(C240,""auto"",""en"")"),"Egg separator / Whisk / cut like egg")</f>
        <v>Egg separator / Whisk / cut like egg</v>
      </c>
    </row>
    <row r="241" spans="1:9" ht="13" x14ac:dyDescent="0.15">
      <c r="A241" s="2" t="s">
        <v>9</v>
      </c>
      <c r="B241" s="2" t="s">
        <v>234</v>
      </c>
      <c r="C241" s="2" t="s">
        <v>254</v>
      </c>
      <c r="D241" s="3">
        <v>2098759</v>
      </c>
      <c r="E241" s="3">
        <v>33407</v>
      </c>
      <c r="F241" s="3">
        <v>246</v>
      </c>
      <c r="G241" s="3" t="s">
        <v>12</v>
      </c>
      <c r="H241" s="3" t="str">
        <f ca="1">IFERROR(__xludf.DUMMYFUNCTION("GOOGLETRANSLATE(B241,""auto"",""en"")"),"Kitchen / Cooking / Baking utensils")</f>
        <v>Kitchen / Cooking / Baking utensils</v>
      </c>
      <c r="I241" s="3" t="str">
        <f ca="1">IFERROR(__xludf.DUMMYFUNCTION("GOOGLETRANSLATE(C241,""auto"",""en"")"),"Foil / greaseproof paper")</f>
        <v>Foil / greaseproof paper</v>
      </c>
    </row>
    <row r="242" spans="1:9" ht="13" x14ac:dyDescent="0.15">
      <c r="A242" s="2" t="s">
        <v>9</v>
      </c>
      <c r="B242" s="2" t="s">
        <v>234</v>
      </c>
      <c r="C242" s="2" t="s">
        <v>255</v>
      </c>
      <c r="D242" s="3">
        <v>2098759</v>
      </c>
      <c r="E242" s="3">
        <v>33407</v>
      </c>
      <c r="F242" s="3">
        <v>245</v>
      </c>
      <c r="G242" s="3" t="s">
        <v>12</v>
      </c>
      <c r="H242" s="3" t="str">
        <f ca="1">IFERROR(__xludf.DUMMYFUNCTION("GOOGLETRANSLATE(B242,""auto"",""en"")"),"Kitchen / Cooking / Baking utensils")</f>
        <v>Kitchen / Cooking / Baking utensils</v>
      </c>
      <c r="I242" s="3" t="str">
        <f ca="1">IFERROR(__xludf.DUMMYFUNCTION("GOOGLETRANSLATE(C242,""auto"",""en"")"),"Dumplings device")</f>
        <v>Dumplings device</v>
      </c>
    </row>
    <row r="243" spans="1:9" ht="13" x14ac:dyDescent="0.15">
      <c r="A243" s="2" t="s">
        <v>9</v>
      </c>
      <c r="B243" s="2" t="s">
        <v>234</v>
      </c>
      <c r="C243" s="2" t="s">
        <v>256</v>
      </c>
      <c r="D243" s="3">
        <v>2098759</v>
      </c>
      <c r="E243" s="3">
        <v>33407</v>
      </c>
      <c r="F243" s="3">
        <v>211</v>
      </c>
      <c r="G243" s="3" t="s">
        <v>12</v>
      </c>
      <c r="H243" s="3" t="str">
        <f ca="1">IFERROR(__xludf.DUMMYFUNCTION("GOOGLETRANSLATE(B243,""auto"",""en"")"),"Kitchen / Cooking / Baking utensils")</f>
        <v>Kitchen / Cooking / Baking utensils</v>
      </c>
      <c r="I243" s="3" t="str">
        <f ca="1">IFERROR(__xludf.DUMMYFUNCTION("GOOGLETRANSLATE(C243,""auto"",""en"")"),"Snack box / bag / dessert cups")</f>
        <v>Snack box / bag / dessert cups</v>
      </c>
    </row>
    <row r="244" spans="1:9" ht="13" x14ac:dyDescent="0.15">
      <c r="A244" s="2" t="s">
        <v>9</v>
      </c>
      <c r="B244" s="2" t="s">
        <v>234</v>
      </c>
      <c r="C244" s="2" t="s">
        <v>257</v>
      </c>
      <c r="D244" s="3">
        <v>2098759</v>
      </c>
      <c r="E244" s="3">
        <v>33407</v>
      </c>
      <c r="F244" s="3">
        <v>206</v>
      </c>
      <c r="G244" s="3" t="s">
        <v>12</v>
      </c>
      <c r="H244" s="3" t="str">
        <f ca="1">IFERROR(__xludf.DUMMYFUNCTION("GOOGLETRANSLATE(B244,""auto"",""en"")"),"Kitchen / Cooking / Baking utensils")</f>
        <v>Kitchen / Cooking / Baking utensils</v>
      </c>
      <c r="I244" s="3" t="str">
        <f ca="1">IFERROR(__xludf.DUMMYFUNCTION("GOOGLETRANSLATE(C244,""auto"",""en"")"),"Kitchen scales / measurement scales")</f>
        <v>Kitchen scales / measurement scales</v>
      </c>
    </row>
    <row r="245" spans="1:9" ht="13" x14ac:dyDescent="0.15">
      <c r="A245" s="2" t="s">
        <v>9</v>
      </c>
      <c r="B245" s="2" t="s">
        <v>234</v>
      </c>
      <c r="C245" s="2" t="s">
        <v>258</v>
      </c>
      <c r="D245" s="3">
        <v>2098759</v>
      </c>
      <c r="E245" s="3">
        <v>33407</v>
      </c>
      <c r="F245" s="3">
        <v>177</v>
      </c>
      <c r="G245" s="3" t="s">
        <v>12</v>
      </c>
      <c r="H245" s="3" t="str">
        <f ca="1">IFERROR(__xludf.DUMMYFUNCTION("GOOGLETRANSLATE(B245,""auto"",""en"")"),"Kitchen / Cooking / Baking utensils")</f>
        <v>Kitchen / Cooking / Baking utensils</v>
      </c>
      <c r="I245" s="3" t="str">
        <f ca="1">IFERROR(__xludf.DUMMYFUNCTION("GOOGLETRANSLATE(C245,""auto"",""en"")"),"Cooking spoon shovel")</f>
        <v>Cooking spoon shovel</v>
      </c>
    </row>
    <row r="246" spans="1:9" ht="13" x14ac:dyDescent="0.15">
      <c r="A246" s="2" t="s">
        <v>9</v>
      </c>
      <c r="B246" s="2" t="s">
        <v>234</v>
      </c>
      <c r="C246" s="2" t="s">
        <v>259</v>
      </c>
      <c r="D246" s="3">
        <v>2098759</v>
      </c>
      <c r="E246" s="3">
        <v>33407</v>
      </c>
      <c r="F246" s="3">
        <v>167</v>
      </c>
      <c r="G246" s="3" t="s">
        <v>12</v>
      </c>
      <c r="H246" s="3" t="str">
        <f ca="1">IFERROR(__xludf.DUMMYFUNCTION("GOOGLETRANSLATE(B246,""auto"",""en"")"),"Kitchen / Cooking / Baking utensils")</f>
        <v>Kitchen / Cooking / Baking utensils</v>
      </c>
      <c r="I246" s="3" t="str">
        <f ca="1">IFERROR(__xludf.DUMMYFUNCTION("GOOGLETRANSLATE(C246,""auto"",""en"")"),"Kettle")</f>
        <v>Kettle</v>
      </c>
    </row>
    <row r="247" spans="1:9" ht="13" x14ac:dyDescent="0.15">
      <c r="A247" s="2" t="s">
        <v>9</v>
      </c>
      <c r="B247" s="2" t="s">
        <v>234</v>
      </c>
      <c r="C247" s="2" t="s">
        <v>260</v>
      </c>
      <c r="D247" s="3">
        <v>2098759</v>
      </c>
      <c r="E247" s="3">
        <v>33407</v>
      </c>
      <c r="F247" s="3">
        <v>162</v>
      </c>
      <c r="G247" s="3" t="s">
        <v>12</v>
      </c>
      <c r="H247" s="3" t="str">
        <f ca="1">IFERROR(__xludf.DUMMYFUNCTION("GOOGLETRANSLATE(B247,""auto"",""en"")"),"Kitchen / Cooking / Baking utensils")</f>
        <v>Kitchen / Cooking / Baking utensils</v>
      </c>
      <c r="I247" s="3" t="str">
        <f ca="1">IFERROR(__xludf.DUMMYFUNCTION("GOOGLETRANSLATE(C247,""auto"",""en"")"),"BBQ / grill")</f>
        <v>BBQ / grill</v>
      </c>
    </row>
    <row r="248" spans="1:9" ht="13" x14ac:dyDescent="0.15">
      <c r="A248" s="2" t="s">
        <v>9</v>
      </c>
      <c r="B248" s="2" t="s">
        <v>234</v>
      </c>
      <c r="C248" s="2" t="s">
        <v>261</v>
      </c>
      <c r="D248" s="3">
        <v>2098759</v>
      </c>
      <c r="E248" s="3">
        <v>33407</v>
      </c>
      <c r="F248" s="3">
        <v>156</v>
      </c>
      <c r="G248" s="3" t="s">
        <v>12</v>
      </c>
      <c r="H248" s="3" t="str">
        <f ca="1">IFERROR(__xludf.DUMMYFUNCTION("GOOGLETRANSLATE(B248,""auto"",""en"")"),"Kitchen / Cooking / Baking utensils")</f>
        <v>Kitchen / Cooking / Baking utensils</v>
      </c>
      <c r="I248" s="3" t="str">
        <f ca="1">IFERROR(__xludf.DUMMYFUNCTION("GOOGLETRANSLATE(C248,""auto"",""en"")"),"Seal folder / sealer")</f>
        <v>Seal folder / sealer</v>
      </c>
    </row>
    <row r="249" spans="1:9" ht="13" x14ac:dyDescent="0.15">
      <c r="A249" s="2" t="s">
        <v>9</v>
      </c>
      <c r="B249" s="2" t="s">
        <v>234</v>
      </c>
      <c r="C249" s="2" t="s">
        <v>262</v>
      </c>
      <c r="D249" s="3">
        <v>2098759</v>
      </c>
      <c r="E249" s="3">
        <v>33407</v>
      </c>
      <c r="F249" s="3">
        <v>114</v>
      </c>
      <c r="G249" s="3" t="s">
        <v>12</v>
      </c>
      <c r="H249" s="3" t="str">
        <f ca="1">IFERROR(__xludf.DUMMYFUNCTION("GOOGLETRANSLATE(B249,""auto"",""en"")"),"Kitchen / Cooking / Baking utensils")</f>
        <v>Kitchen / Cooking / Baking utensils</v>
      </c>
      <c r="I249" s="3" t="str">
        <f ca="1">IFERROR(__xludf.DUMMYFUNCTION("GOOGLETRANSLATE(C249,""auto"",""en"")"),"Set baking utensils")</f>
        <v>Set baking utensils</v>
      </c>
    </row>
    <row r="250" spans="1:9" ht="13" x14ac:dyDescent="0.15">
      <c r="A250" s="2" t="s">
        <v>9</v>
      </c>
      <c r="B250" s="2" t="s">
        <v>234</v>
      </c>
      <c r="C250" s="2" t="s">
        <v>263</v>
      </c>
      <c r="D250" s="3">
        <v>2098759</v>
      </c>
      <c r="E250" s="3">
        <v>33407</v>
      </c>
      <c r="F250" s="3">
        <v>113</v>
      </c>
      <c r="G250" s="3" t="s">
        <v>12</v>
      </c>
      <c r="H250" s="3" t="str">
        <f ca="1">IFERROR(__xludf.DUMMYFUNCTION("GOOGLETRANSLATE(B250,""auto"",""en"")"),"Kitchen / Cooking / Baking utensils")</f>
        <v>Kitchen / Cooking / Baking utensils</v>
      </c>
      <c r="I250" s="3" t="str">
        <f ca="1">IFERROR(__xludf.DUMMYFUNCTION("GOOGLETRANSLATE(C250,""auto"",""en"")"),"pot")</f>
        <v>pot</v>
      </c>
    </row>
    <row r="251" spans="1:9" ht="13" x14ac:dyDescent="0.15">
      <c r="A251" s="2" t="s">
        <v>9</v>
      </c>
      <c r="B251" s="2" t="s">
        <v>234</v>
      </c>
      <c r="C251" s="2" t="s">
        <v>264</v>
      </c>
      <c r="D251" s="3">
        <v>2098759</v>
      </c>
      <c r="E251" s="3">
        <v>33407</v>
      </c>
      <c r="F251" s="3">
        <v>103</v>
      </c>
      <c r="G251" s="3" t="s">
        <v>12</v>
      </c>
      <c r="H251" s="3" t="str">
        <f ca="1">IFERROR(__xludf.DUMMYFUNCTION("GOOGLETRANSLATE(B251,""auto"",""en"")"),"Kitchen / Cooking / Baking utensils")</f>
        <v>Kitchen / Cooking / Baking utensils</v>
      </c>
      <c r="I251" s="3" t="str">
        <f ca="1">IFERROR(__xludf.DUMMYFUNCTION("GOOGLETRANSLATE(C251,""auto"",""en"")"),"Cooking Tool Sets")</f>
        <v>Cooking Tool Sets</v>
      </c>
    </row>
    <row r="252" spans="1:9" ht="13" x14ac:dyDescent="0.15">
      <c r="A252" s="2" t="s">
        <v>9</v>
      </c>
      <c r="B252" s="2" t="s">
        <v>234</v>
      </c>
      <c r="C252" s="2" t="s">
        <v>265</v>
      </c>
      <c r="D252" s="3">
        <v>2098759</v>
      </c>
      <c r="E252" s="3">
        <v>33407</v>
      </c>
      <c r="F252" s="3">
        <v>89</v>
      </c>
      <c r="G252" s="3" t="s">
        <v>12</v>
      </c>
      <c r="H252" s="3" t="str">
        <f ca="1">IFERROR(__xludf.DUMMYFUNCTION("GOOGLETRANSLATE(B252,""auto"",""en"")"),"Kitchen / Cooking / Baking utensils")</f>
        <v>Kitchen / Cooking / Baking utensils</v>
      </c>
      <c r="I252" s="3" t="str">
        <f ca="1">IFERROR(__xludf.DUMMYFUNCTION("GOOGLETRANSLATE(C252,""auto"",""en"")"),"Microwave oven gloves / private Boxes")</f>
        <v>Microwave oven gloves / private Boxes</v>
      </c>
    </row>
    <row r="253" spans="1:9" ht="13" x14ac:dyDescent="0.15">
      <c r="A253" s="2" t="s">
        <v>9</v>
      </c>
      <c r="B253" s="2" t="s">
        <v>234</v>
      </c>
      <c r="C253" s="2" t="s">
        <v>266</v>
      </c>
      <c r="D253" s="3">
        <v>2098759</v>
      </c>
      <c r="E253" s="3">
        <v>33407</v>
      </c>
      <c r="F253" s="3">
        <v>88</v>
      </c>
      <c r="G253" s="3" t="s">
        <v>12</v>
      </c>
      <c r="H253" s="3" t="str">
        <f ca="1">IFERROR(__xludf.DUMMYFUNCTION("GOOGLETRANSLATE(B253,""auto"",""en"")"),"Kitchen / Cooking / Baking utensils")</f>
        <v>Kitchen / Cooking / Baking utensils</v>
      </c>
      <c r="I253" s="3" t="str">
        <f ca="1">IFERROR(__xludf.DUMMYFUNCTION("GOOGLETRANSLATE(C253,""auto"",""en"")"),"Barbecue brush / net / plate, etc.")</f>
        <v>Barbecue brush / net / plate, etc.</v>
      </c>
    </row>
    <row r="254" spans="1:9" ht="13" x14ac:dyDescent="0.15">
      <c r="A254" s="2" t="s">
        <v>9</v>
      </c>
      <c r="B254" s="2" t="s">
        <v>234</v>
      </c>
      <c r="C254" s="2" t="s">
        <v>267</v>
      </c>
      <c r="D254" s="3">
        <v>2098759</v>
      </c>
      <c r="E254" s="3">
        <v>33407</v>
      </c>
      <c r="F254" s="3">
        <v>82</v>
      </c>
      <c r="G254" s="3" t="s">
        <v>12</v>
      </c>
      <c r="H254" s="3" t="str">
        <f ca="1">IFERROR(__xludf.DUMMYFUNCTION("GOOGLETRANSLATE(B254,""auto"",""en"")"),"Kitchen / Cooking / Baking utensils")</f>
        <v>Kitchen / Cooking / Baking utensils</v>
      </c>
      <c r="I254" s="3" t="str">
        <f ca="1">IFERROR(__xludf.DUMMYFUNCTION("GOOGLETRANSLATE(C254,""auto"",""en"")"),"Rolling pin")</f>
        <v>Rolling pin</v>
      </c>
    </row>
    <row r="255" spans="1:9" ht="13" x14ac:dyDescent="0.15">
      <c r="A255" s="2" t="s">
        <v>9</v>
      </c>
      <c r="B255" s="2" t="s">
        <v>234</v>
      </c>
      <c r="C255" s="2" t="s">
        <v>268</v>
      </c>
      <c r="D255" s="3">
        <v>2098759</v>
      </c>
      <c r="E255" s="3">
        <v>33407</v>
      </c>
      <c r="F255" s="3">
        <v>65</v>
      </c>
      <c r="G255" s="3" t="s">
        <v>12</v>
      </c>
      <c r="H255" s="3" t="str">
        <f ca="1">IFERROR(__xludf.DUMMYFUNCTION("GOOGLETRANSLATE(B255,""auto"",""en"")"),"Kitchen / Cooking / Baking utensils")</f>
        <v>Kitchen / Cooking / Baking utensils</v>
      </c>
      <c r="I255" s="3" t="str">
        <f ca="1">IFERROR(__xludf.DUMMYFUNCTION("GOOGLETRANSLATE(C255,""auto"",""en"")"),"BBQ folder / fork / shovel / pin")</f>
        <v>BBQ folder / fork / shovel / pin</v>
      </c>
    </row>
    <row r="256" spans="1:9" ht="13" x14ac:dyDescent="0.15">
      <c r="A256" s="2" t="s">
        <v>9</v>
      </c>
      <c r="B256" s="2" t="s">
        <v>234</v>
      </c>
      <c r="C256" s="2" t="s">
        <v>269</v>
      </c>
      <c r="D256" s="3">
        <v>2098759</v>
      </c>
      <c r="E256" s="3">
        <v>33407</v>
      </c>
      <c r="F256" s="3">
        <v>62</v>
      </c>
      <c r="G256" s="3" t="s">
        <v>12</v>
      </c>
      <c r="H256" s="3" t="str">
        <f ca="1">IFERROR(__xludf.DUMMYFUNCTION("GOOGLETRANSLATE(B256,""auto"",""en"")"),"Kitchen / Cooking / Baking utensils")</f>
        <v>Kitchen / Cooking / Baking utensils</v>
      </c>
      <c r="I256" s="3" t="str">
        <f ca="1">IFERROR(__xludf.DUMMYFUNCTION("GOOGLETRANSLATE(C256,""auto"",""en"")"),"Open orange device / peel orange device")</f>
        <v>Open orange device / peel orange device</v>
      </c>
    </row>
    <row r="257" spans="1:9" ht="13" x14ac:dyDescent="0.15">
      <c r="A257" s="2" t="s">
        <v>9</v>
      </c>
      <c r="B257" s="2" t="s">
        <v>234</v>
      </c>
      <c r="C257" s="2" t="s">
        <v>270</v>
      </c>
      <c r="D257" s="3">
        <v>2098759</v>
      </c>
      <c r="E257" s="3">
        <v>33407</v>
      </c>
      <c r="F257" s="3">
        <v>46</v>
      </c>
      <c r="G257" s="3" t="s">
        <v>12</v>
      </c>
      <c r="H257" s="3" t="str">
        <f ca="1">IFERROR(__xludf.DUMMYFUNCTION("GOOGLETRANSLATE(B257,""auto"",""en"")"),"Kitchen / Cooking / Baking utensils")</f>
        <v>Kitchen / Cooking / Baking utensils</v>
      </c>
      <c r="I257" s="3" t="str">
        <f ca="1">IFERROR(__xludf.DUMMYFUNCTION("GOOGLETRANSLATE(C257,""auto"",""en"")"),"Timer / timer / reminder")</f>
        <v>Timer / timer / reminder</v>
      </c>
    </row>
    <row r="258" spans="1:9" ht="13" x14ac:dyDescent="0.15">
      <c r="A258" s="2" t="s">
        <v>9</v>
      </c>
      <c r="B258" s="2" t="s">
        <v>234</v>
      </c>
      <c r="C258" s="2" t="s">
        <v>271</v>
      </c>
      <c r="D258" s="3">
        <v>2098759</v>
      </c>
      <c r="E258" s="3">
        <v>33407</v>
      </c>
      <c r="F258" s="3">
        <v>38</v>
      </c>
      <c r="G258" s="3" t="s">
        <v>12</v>
      </c>
      <c r="H258" s="3" t="str">
        <f ca="1">IFERROR(__xludf.DUMMYFUNCTION("GOOGLETRANSLATE(B258,""auto"",""en"")"),"Kitchen / Cooking / Baking utensils")</f>
        <v>Kitchen / Cooking / Baking utensils</v>
      </c>
      <c r="I258" s="3" t="str">
        <f ca="1">IFERROR(__xludf.DUMMYFUNCTION("GOOGLETRANSLATE(C258,""auto"",""en"")"),"Weighing scale")</f>
        <v>Weighing scale</v>
      </c>
    </row>
    <row r="259" spans="1:9" ht="13" x14ac:dyDescent="0.15">
      <c r="A259" s="2" t="s">
        <v>9</v>
      </c>
      <c r="B259" s="2" t="s">
        <v>234</v>
      </c>
      <c r="C259" s="2" t="s">
        <v>272</v>
      </c>
      <c r="D259" s="3">
        <v>2098759</v>
      </c>
      <c r="E259" s="3">
        <v>33407</v>
      </c>
      <c r="F259" s="3">
        <v>36</v>
      </c>
      <c r="G259" s="3" t="s">
        <v>12</v>
      </c>
      <c r="H259" s="3" t="str">
        <f ca="1">IFERROR(__xludf.DUMMYFUNCTION("GOOGLETRANSLATE(B259,""auto"",""en"")"),"Kitchen / Cooking / Baking utensils")</f>
        <v>Kitchen / Cooking / Baking utensils</v>
      </c>
      <c r="I259" s="3" t="str">
        <f ca="1">IFERROR(__xludf.DUMMYFUNCTION("GOOGLETRANSLATE(C259,""auto"",""en"")"),"Baking paper")</f>
        <v>Baking paper</v>
      </c>
    </row>
    <row r="260" spans="1:9" ht="13" x14ac:dyDescent="0.15">
      <c r="A260" s="2" t="s">
        <v>9</v>
      </c>
      <c r="B260" s="2" t="s">
        <v>234</v>
      </c>
      <c r="C260" s="2" t="s">
        <v>273</v>
      </c>
      <c r="D260" s="3">
        <v>2098759</v>
      </c>
      <c r="E260" s="3">
        <v>33407</v>
      </c>
      <c r="F260" s="3">
        <v>28</v>
      </c>
      <c r="G260" s="3" t="s">
        <v>12</v>
      </c>
      <c r="H260" s="3" t="str">
        <f ca="1">IFERROR(__xludf.DUMMYFUNCTION("GOOGLETRANSLATE(B260,""auto"",""en"")"),"Kitchen / Cooking / Baking utensils")</f>
        <v>Kitchen / Cooking / Baking utensils</v>
      </c>
      <c r="I260" s="3" t="str">
        <f ca="1">IFERROR(__xludf.DUMMYFUNCTION("GOOGLETRANSLATE(C260,""auto"",""en"")"),"Sushi DIY equipment")</f>
        <v>Sushi DIY equipment</v>
      </c>
    </row>
    <row r="261" spans="1:9" ht="13" x14ac:dyDescent="0.15">
      <c r="A261" s="2" t="s">
        <v>9</v>
      </c>
      <c r="B261" s="2" t="s">
        <v>234</v>
      </c>
      <c r="C261" s="2" t="s">
        <v>274</v>
      </c>
      <c r="D261" s="3">
        <v>2098759</v>
      </c>
      <c r="E261" s="3">
        <v>33407</v>
      </c>
      <c r="F261" s="3">
        <v>25</v>
      </c>
      <c r="G261" s="3" t="s">
        <v>12</v>
      </c>
      <c r="H261" s="3" t="str">
        <f ca="1">IFERROR(__xludf.DUMMYFUNCTION("GOOGLETRANSLATE(B261,""auto"",""en"")"),"Kitchen / Cooking / Baking utensils")</f>
        <v>Kitchen / Cooking / Baking utensils</v>
      </c>
      <c r="I261" s="3" t="str">
        <f ca="1">IFERROR(__xludf.DUMMYFUNCTION("GOOGLETRANSLATE(C261,""auto"",""en"")"),"Barbecues suit")</f>
        <v>Barbecues suit</v>
      </c>
    </row>
    <row r="262" spans="1:9" ht="13" x14ac:dyDescent="0.15">
      <c r="A262" s="2" t="s">
        <v>9</v>
      </c>
      <c r="B262" s="2" t="s">
        <v>234</v>
      </c>
      <c r="C262" s="2" t="s">
        <v>275</v>
      </c>
      <c r="D262" s="3">
        <v>2098759</v>
      </c>
      <c r="E262" s="3">
        <v>33407</v>
      </c>
      <c r="F262" s="3">
        <v>22</v>
      </c>
      <c r="G262" s="3" t="s">
        <v>12</v>
      </c>
      <c r="H262" s="3" t="str">
        <f ca="1">IFERROR(__xludf.DUMMYFUNCTION("GOOGLETRANSLATE(B262,""auto"",""en"")"),"Kitchen / Cooking / Baking utensils")</f>
        <v>Kitchen / Cooking / Baking utensils</v>
      </c>
      <c r="I262" s="3" t="str">
        <f ca="1">IFERROR(__xludf.DUMMYFUNCTION("GOOGLETRANSLATE(C262,""auto"",""en"")"),"Nut")</f>
        <v>Nut</v>
      </c>
    </row>
    <row r="263" spans="1:9" ht="13" x14ac:dyDescent="0.15">
      <c r="A263" s="2" t="s">
        <v>9</v>
      </c>
      <c r="B263" s="2" t="s">
        <v>234</v>
      </c>
      <c r="C263" s="2" t="s">
        <v>276</v>
      </c>
      <c r="D263" s="3">
        <v>2098759</v>
      </c>
      <c r="E263" s="3">
        <v>33407</v>
      </c>
      <c r="F263" s="3">
        <v>22</v>
      </c>
      <c r="G263" s="3" t="s">
        <v>12</v>
      </c>
      <c r="H263" s="3" t="str">
        <f ca="1">IFERROR(__xludf.DUMMYFUNCTION("GOOGLETRANSLATE(B263,""auto"",""en"")"),"Kitchen / Cooking / Baking utensils")</f>
        <v>Kitchen / Cooking / Baking utensils</v>
      </c>
      <c r="I263" s="3" t="str">
        <f ca="1">IFERROR(__xludf.DUMMYFUNCTION("GOOGLETRANSLATE(C263,""auto"",""en"")"),"Knock meat hammer")</f>
        <v>Knock meat hammer</v>
      </c>
    </row>
    <row r="264" spans="1:9" ht="13" x14ac:dyDescent="0.15">
      <c r="A264" s="2" t="s">
        <v>9</v>
      </c>
      <c r="B264" s="2" t="s">
        <v>234</v>
      </c>
      <c r="C264" s="2" t="s">
        <v>277</v>
      </c>
      <c r="D264" s="3">
        <v>2098759</v>
      </c>
      <c r="E264" s="3">
        <v>33407</v>
      </c>
      <c r="F264" s="3">
        <v>21</v>
      </c>
      <c r="G264" s="3" t="s">
        <v>12</v>
      </c>
      <c r="H264" s="3" t="str">
        <f ca="1">IFERROR(__xludf.DUMMYFUNCTION("GOOGLETRANSLATE(B264,""auto"",""en"")"),"Kitchen / Cooking / Baking utensils")</f>
        <v>Kitchen / Cooking / Baking utensils</v>
      </c>
      <c r="I264" s="3" t="str">
        <f ca="1">IFERROR(__xludf.DUMMYFUNCTION("GOOGLETRANSLATE(C264,""auto"",""en"")"),"Barbecue car")</f>
        <v>Barbecue car</v>
      </c>
    </row>
    <row r="265" spans="1:9" ht="13" x14ac:dyDescent="0.15">
      <c r="A265" s="2" t="s">
        <v>9</v>
      </c>
      <c r="B265" s="2" t="s">
        <v>234</v>
      </c>
      <c r="C265" s="2" t="s">
        <v>278</v>
      </c>
      <c r="D265" s="3">
        <v>2098759</v>
      </c>
      <c r="E265" s="3">
        <v>33407</v>
      </c>
      <c r="F265" s="3">
        <v>21</v>
      </c>
      <c r="G265" s="3" t="s">
        <v>12</v>
      </c>
      <c r="H265" s="3" t="str">
        <f ca="1">IFERROR(__xludf.DUMMYFUNCTION("GOOGLETRANSLATE(B265,""auto"",""en"")"),"Kitchen / Cooking / Baking utensils")</f>
        <v>Kitchen / Cooking / Baking utensils</v>
      </c>
      <c r="I265" s="3" t="str">
        <f ca="1">IFERROR(__xludf.DUMMYFUNCTION("GOOGLETRANSLATE(C265,""auto"",""en"")"),"Sieve flour")</f>
        <v>Sieve flour</v>
      </c>
    </row>
    <row r="266" spans="1:9" ht="13" x14ac:dyDescent="0.15">
      <c r="A266" s="2" t="s">
        <v>9</v>
      </c>
      <c r="B266" s="2" t="s">
        <v>234</v>
      </c>
      <c r="C266" s="2" t="s">
        <v>279</v>
      </c>
      <c r="D266" s="3">
        <v>2098759</v>
      </c>
      <c r="E266" s="3">
        <v>33407</v>
      </c>
      <c r="F266" s="3">
        <v>13</v>
      </c>
      <c r="G266" s="3" t="s">
        <v>12</v>
      </c>
      <c r="H266" s="3" t="str">
        <f ca="1">IFERROR(__xludf.DUMMYFUNCTION("GOOGLETRANSLATE(B266,""auto"",""en"")"),"Kitchen / Cooking / Baking utensils")</f>
        <v>Kitchen / Cooking / Baking utensils</v>
      </c>
      <c r="I266" s="3" t="str">
        <f ca="1">IFERROR(__xludf.DUMMYFUNCTION("GOOGLETRANSLATE(C266,""auto"",""en"")"),"Roaster")</f>
        <v>Roaster</v>
      </c>
    </row>
    <row r="267" spans="1:9" ht="13" x14ac:dyDescent="0.15">
      <c r="A267" s="2" t="s">
        <v>9</v>
      </c>
      <c r="B267" s="2" t="s">
        <v>234</v>
      </c>
      <c r="C267" s="2" t="s">
        <v>280</v>
      </c>
      <c r="D267" s="3">
        <v>2098759</v>
      </c>
      <c r="E267" s="3">
        <v>33407</v>
      </c>
      <c r="F267" s="3">
        <v>11</v>
      </c>
      <c r="G267" s="3" t="s">
        <v>12</v>
      </c>
      <c r="H267" s="3" t="str">
        <f ca="1">IFERROR(__xludf.DUMMYFUNCTION("GOOGLETRANSLATE(B267,""auto"",""en"")"),"Kitchen / Cooking / Baking utensils")</f>
        <v>Kitchen / Cooking / Baking utensils</v>
      </c>
      <c r="I267" s="3" t="str">
        <f ca="1">IFERROR(__xludf.DUMMYFUNCTION("GOOGLETRANSLATE(C267,""auto"",""en"")"),"Measuring spoon")</f>
        <v>Measuring spoon</v>
      </c>
    </row>
    <row r="268" spans="1:9" ht="13" x14ac:dyDescent="0.15">
      <c r="A268" s="2" t="s">
        <v>9</v>
      </c>
      <c r="B268" s="2" t="s">
        <v>234</v>
      </c>
      <c r="C268" s="2" t="s">
        <v>281</v>
      </c>
      <c r="D268" s="3">
        <v>2098759</v>
      </c>
      <c r="E268" s="3">
        <v>33407</v>
      </c>
      <c r="F268" s="3">
        <v>11</v>
      </c>
      <c r="G268" s="3" t="s">
        <v>12</v>
      </c>
      <c r="H268" s="3" t="str">
        <f ca="1">IFERROR(__xludf.DUMMYFUNCTION("GOOGLETRANSLATE(B268,""auto"",""en"")"),"Kitchen / Cooking / Baking utensils")</f>
        <v>Kitchen / Cooking / Baking utensils</v>
      </c>
      <c r="I268" s="3" t="str">
        <f ca="1">IFERROR(__xludf.DUMMYFUNCTION("GOOGLETRANSLATE(C268,""auto"",""en"")"),"Kitchen ignition / firing rod")</f>
        <v>Kitchen ignition / firing rod</v>
      </c>
    </row>
    <row r="269" spans="1:9" ht="13" x14ac:dyDescent="0.15">
      <c r="A269" s="2" t="s">
        <v>9</v>
      </c>
      <c r="B269" s="2" t="s">
        <v>234</v>
      </c>
      <c r="C269" s="2" t="s">
        <v>282</v>
      </c>
      <c r="D269" s="3">
        <v>2098759</v>
      </c>
      <c r="E269" s="3">
        <v>33407</v>
      </c>
      <c r="F269" s="3">
        <v>5</v>
      </c>
      <c r="G269" s="3" t="s">
        <v>12</v>
      </c>
      <c r="H269" s="3" t="str">
        <f ca="1">IFERROR(__xludf.DUMMYFUNCTION("GOOGLETRANSLATE(B269,""auto"",""en"")"),"Kitchen / Cooking / Baking utensils")</f>
        <v>Kitchen / Cooking / Baking utensils</v>
      </c>
      <c r="I269" s="3" t="str">
        <f ca="1">IFERROR(__xludf.DUMMYFUNCTION("GOOGLETRANSLATE(C269,""auto"",""en"")"),"Capping Andy")</f>
        <v>Capping Andy</v>
      </c>
    </row>
    <row r="270" spans="1:9" ht="13" x14ac:dyDescent="0.15">
      <c r="A270" s="2" t="s">
        <v>9</v>
      </c>
      <c r="B270" s="2" t="s">
        <v>234</v>
      </c>
      <c r="C270" s="2" t="s">
        <v>283</v>
      </c>
      <c r="D270" s="3">
        <v>2098759</v>
      </c>
      <c r="E270" s="3">
        <v>33407</v>
      </c>
      <c r="F270" s="3">
        <v>4</v>
      </c>
      <c r="G270" s="3" t="s">
        <v>12</v>
      </c>
      <c r="H270" s="3" t="str">
        <f ca="1">IFERROR(__xludf.DUMMYFUNCTION("GOOGLETRANSLATE(B270,""auto"",""en"")"),"Kitchen / Cooking / Baking utensils")</f>
        <v>Kitchen / Cooking / Baking utensils</v>
      </c>
      <c r="I270" s="3" t="str">
        <f ca="1">IFERROR(__xludf.DUMMYFUNCTION("GOOGLETRANSLATE(C270,""auto"",""en"")"),"Decorating mouth / Decorating Gun / Decorating Bag")</f>
        <v>Decorating mouth / Decorating Gun / Decorating Bag</v>
      </c>
    </row>
    <row r="271" spans="1:9" ht="13" x14ac:dyDescent="0.15">
      <c r="A271" s="2" t="s">
        <v>9</v>
      </c>
      <c r="B271" s="2" t="s">
        <v>234</v>
      </c>
      <c r="C271" s="2" t="s">
        <v>284</v>
      </c>
      <c r="D271" s="3">
        <v>2098759</v>
      </c>
      <c r="E271" s="3">
        <v>33407</v>
      </c>
      <c r="F271" s="3">
        <v>3</v>
      </c>
      <c r="G271" s="3" t="s">
        <v>12</v>
      </c>
      <c r="H271" s="3" t="str">
        <f ca="1">IFERROR(__xludf.DUMMYFUNCTION("GOOGLETRANSLATE(B271,""auto"",""en"")"),"Kitchen / Cooking / Baking utensils")</f>
        <v>Kitchen / Cooking / Baking utensils</v>
      </c>
      <c r="I271" s="3" t="str">
        <f ca="1">IFERROR(__xludf.DUMMYFUNCTION("GOOGLETRANSLATE(C271,""auto"",""en"")"),"Barbecue carbon")</f>
        <v>Barbecue carbon</v>
      </c>
    </row>
    <row r="272" spans="1:9" ht="13" x14ac:dyDescent="0.15">
      <c r="A272" s="2" t="s">
        <v>9</v>
      </c>
      <c r="B272" s="2" t="s">
        <v>234</v>
      </c>
      <c r="C272" s="2" t="s">
        <v>285</v>
      </c>
      <c r="D272" s="3">
        <v>2098759</v>
      </c>
      <c r="E272" s="3">
        <v>33407</v>
      </c>
      <c r="F272" s="3">
        <v>1</v>
      </c>
      <c r="G272" s="3" t="s">
        <v>12</v>
      </c>
      <c r="H272" s="3" t="str">
        <f ca="1">IFERROR(__xludf.DUMMYFUNCTION("GOOGLETRANSLATE(B272,""auto"",""en"")"),"Kitchen / Cooking / Baking utensils")</f>
        <v>Kitchen / Cooking / Baking utensils</v>
      </c>
      <c r="I272" s="3" t="str">
        <f ca="1">IFERROR(__xludf.DUMMYFUNCTION("GOOGLETRANSLATE(C272,""auto"",""en"")"),"Small gas stove")</f>
        <v>Small gas stove</v>
      </c>
    </row>
    <row r="273" spans="1:9" ht="13" x14ac:dyDescent="0.15">
      <c r="A273" s="2" t="s">
        <v>9</v>
      </c>
      <c r="B273" s="2" t="s">
        <v>286</v>
      </c>
      <c r="C273" s="2" t="s">
        <v>287</v>
      </c>
      <c r="D273" s="3">
        <v>2098759</v>
      </c>
      <c r="E273" s="3">
        <v>18311</v>
      </c>
      <c r="F273" s="3">
        <v>11297</v>
      </c>
      <c r="G273" s="3" t="s">
        <v>12</v>
      </c>
      <c r="H273" s="3" t="str">
        <f ca="1">IFERROR(__xludf.DUMMYFUNCTION("GOOGLETRANSLATE(B273,""auto"",""en"")"),"Furniture, furnishings")</f>
        <v>Furniture, furnishings</v>
      </c>
      <c r="I273" s="3" t="str">
        <f ca="1">IFERROR(__xludf.DUMMYFUNCTION("GOOGLETRANSLATE(C273,""auto"",""en"")"),"Light / lamp")</f>
        <v>Light / lamp</v>
      </c>
    </row>
    <row r="274" spans="1:9" ht="13" x14ac:dyDescent="0.15">
      <c r="A274" s="2" t="s">
        <v>9</v>
      </c>
      <c r="B274" s="2" t="s">
        <v>286</v>
      </c>
      <c r="C274" s="2" t="s">
        <v>288</v>
      </c>
      <c r="D274" s="3">
        <v>2098759</v>
      </c>
      <c r="E274" s="3">
        <v>18311</v>
      </c>
      <c r="F274" s="3">
        <v>2858</v>
      </c>
      <c r="G274" s="3" t="s">
        <v>12</v>
      </c>
      <c r="H274" s="3" t="str">
        <f ca="1">IFERROR(__xludf.DUMMYFUNCTION("GOOGLETRANSLATE(B274,""auto"",""en"")"),"Furniture, furnishings")</f>
        <v>Furniture, furnishings</v>
      </c>
      <c r="I274" s="3" t="str">
        <f ca="1">IFERROR(__xludf.DUMMYFUNCTION("GOOGLETRANSLATE(C274,""auto"",""en"")"),"cabinet")</f>
        <v>cabinet</v>
      </c>
    </row>
    <row r="275" spans="1:9" ht="13" x14ac:dyDescent="0.15">
      <c r="A275" s="2" t="s">
        <v>9</v>
      </c>
      <c r="B275" s="2" t="s">
        <v>286</v>
      </c>
      <c r="C275" s="2" t="s">
        <v>289</v>
      </c>
      <c r="D275" s="3">
        <v>2098759</v>
      </c>
      <c r="E275" s="3">
        <v>18311</v>
      </c>
      <c r="F275" s="3">
        <v>2127</v>
      </c>
      <c r="G275" s="3" t="s">
        <v>12</v>
      </c>
      <c r="H275" s="3" t="str">
        <f ca="1">IFERROR(__xludf.DUMMYFUNCTION("GOOGLETRANSLATE(B275,""auto"",""en"")"),"Furniture, furnishings")</f>
        <v>Furniture, furnishings</v>
      </c>
      <c r="I275" s="3" t="str">
        <f ca="1">IFERROR(__xludf.DUMMYFUNCTION("GOOGLETRANSLATE(C275,""auto"",""en"")"),"Mats / rugs")</f>
        <v>Mats / rugs</v>
      </c>
    </row>
    <row r="276" spans="1:9" ht="13" x14ac:dyDescent="0.15">
      <c r="A276" s="2" t="s">
        <v>9</v>
      </c>
      <c r="B276" s="2" t="s">
        <v>286</v>
      </c>
      <c r="C276" s="2" t="s">
        <v>92</v>
      </c>
      <c r="D276" s="3">
        <v>2098759</v>
      </c>
      <c r="E276" s="3">
        <v>18311</v>
      </c>
      <c r="F276" s="3">
        <v>627</v>
      </c>
      <c r="G276" s="3" t="s">
        <v>12</v>
      </c>
      <c r="H276" s="3" t="str">
        <f ca="1">IFERROR(__xludf.DUMMYFUNCTION("GOOGLETRANSLATE(B276,""auto"",""en"")"),"Furniture, furnishings")</f>
        <v>Furniture, furnishings</v>
      </c>
      <c r="I276" s="3" t="str">
        <f ca="1">IFERROR(__xludf.DUMMYFUNCTION("GOOGLETRANSLATE(C276,""auto"",""en"")"),"other")</f>
        <v>other</v>
      </c>
    </row>
    <row r="277" spans="1:9" ht="13" x14ac:dyDescent="0.15">
      <c r="A277" s="2" t="s">
        <v>9</v>
      </c>
      <c r="B277" s="2" t="s">
        <v>286</v>
      </c>
      <c r="C277" s="2" t="s">
        <v>290</v>
      </c>
      <c r="D277" s="3">
        <v>2098759</v>
      </c>
      <c r="E277" s="3">
        <v>18311</v>
      </c>
      <c r="F277" s="3">
        <v>300</v>
      </c>
      <c r="G277" s="3" t="s">
        <v>12</v>
      </c>
      <c r="H277" s="3" t="str">
        <f ca="1">IFERROR(__xludf.DUMMYFUNCTION("GOOGLETRANSLATE(B277,""auto"",""en"")"),"Furniture, furnishings")</f>
        <v>Furniture, furnishings</v>
      </c>
      <c r="I277" s="3" t="str">
        <f ca="1">IFERROR(__xludf.DUMMYFUNCTION("GOOGLETRANSLATE(C277,""auto"",""en"")"),"Furniture, household / commercial office furniture")</f>
        <v>Furniture, household / commercial office furniture</v>
      </c>
    </row>
    <row r="278" spans="1:9" ht="13" x14ac:dyDescent="0.15">
      <c r="A278" s="2" t="s">
        <v>9</v>
      </c>
      <c r="B278" s="2" t="s">
        <v>286</v>
      </c>
      <c r="C278" s="2" t="s">
        <v>291</v>
      </c>
      <c r="D278" s="3">
        <v>2098759</v>
      </c>
      <c r="E278" s="3">
        <v>18311</v>
      </c>
      <c r="F278" s="3">
        <v>250</v>
      </c>
      <c r="G278" s="3" t="s">
        <v>12</v>
      </c>
      <c r="H278" s="3" t="str">
        <f ca="1">IFERROR(__xludf.DUMMYFUNCTION("GOOGLETRANSLATE(B278,""auto"",""en"")"),"Furniture, furnishings")</f>
        <v>Furniture, furnishings</v>
      </c>
      <c r="I278" s="3" t="str">
        <f ca="1">IFERROR(__xludf.DUMMYFUNCTION("GOOGLETRANSLATE(C278,""auto"",""en"")"),"Class Seats")</f>
        <v>Class Seats</v>
      </c>
    </row>
    <row r="279" spans="1:9" ht="13" x14ac:dyDescent="0.15">
      <c r="A279" s="2" t="s">
        <v>9</v>
      </c>
      <c r="B279" s="2" t="s">
        <v>286</v>
      </c>
      <c r="C279" s="2" t="s">
        <v>292</v>
      </c>
      <c r="D279" s="3">
        <v>2098759</v>
      </c>
      <c r="E279" s="3">
        <v>18311</v>
      </c>
      <c r="F279" s="3">
        <v>232</v>
      </c>
      <c r="G279" s="3" t="s">
        <v>12</v>
      </c>
      <c r="H279" s="3" t="str">
        <f ca="1">IFERROR(__xludf.DUMMYFUNCTION("GOOGLETRANSLATE(B279,""auto"",""en"")"),"Furniture, furnishings")</f>
        <v>Furniture, furnishings</v>
      </c>
      <c r="I279" s="3" t="str">
        <f ca="1">IFERROR(__xludf.DUMMYFUNCTION("GOOGLETRANSLATE(C279,""auto"",""en"")"),"Outdoor / patio home")</f>
        <v>Outdoor / patio home</v>
      </c>
    </row>
    <row r="280" spans="1:9" ht="13" x14ac:dyDescent="0.15">
      <c r="A280" s="2" t="s">
        <v>9</v>
      </c>
      <c r="B280" s="2" t="s">
        <v>286</v>
      </c>
      <c r="C280" s="2" t="s">
        <v>293</v>
      </c>
      <c r="D280" s="3">
        <v>2098759</v>
      </c>
      <c r="E280" s="3">
        <v>18311</v>
      </c>
      <c r="F280" s="3">
        <v>214</v>
      </c>
      <c r="G280" s="3" t="s">
        <v>12</v>
      </c>
      <c r="H280" s="3" t="str">
        <f ca="1">IFERROR(__xludf.DUMMYFUNCTION("GOOGLETRANSLATE(B280,""auto"",""en"")"),"Furniture, furnishings")</f>
        <v>Furniture, furnishings</v>
      </c>
      <c r="I280" s="3" t="str">
        <f ca="1">IFERROR(__xludf.DUMMYFUNCTION("GOOGLETRANSLATE(C280,""auto"",""en"")"),"Full-length mirror / mirror")</f>
        <v>Full-length mirror / mirror</v>
      </c>
    </row>
    <row r="281" spans="1:9" ht="13" x14ac:dyDescent="0.15">
      <c r="A281" s="2" t="s">
        <v>9</v>
      </c>
      <c r="B281" s="2" t="s">
        <v>286</v>
      </c>
      <c r="C281" s="2" t="s">
        <v>294</v>
      </c>
      <c r="D281" s="3">
        <v>2098759</v>
      </c>
      <c r="E281" s="3">
        <v>18311</v>
      </c>
      <c r="F281" s="3">
        <v>201</v>
      </c>
      <c r="G281" s="3" t="s">
        <v>12</v>
      </c>
      <c r="H281" s="3" t="str">
        <f ca="1">IFERROR(__xludf.DUMMYFUNCTION("GOOGLETRANSLATE(B281,""auto"",""en"")"),"Furniture, furnishings")</f>
        <v>Furniture, furnishings</v>
      </c>
      <c r="I281" s="3" t="str">
        <f ca="1">IFERROR(__xludf.DUMMYFUNCTION("GOOGLETRANSLATE(C281,""auto"",""en"")"),"Study table / desk")</f>
        <v>Study table / desk</v>
      </c>
    </row>
    <row r="282" spans="1:9" ht="13" x14ac:dyDescent="0.15">
      <c r="A282" s="2" t="s">
        <v>9</v>
      </c>
      <c r="B282" s="2" t="s">
        <v>286</v>
      </c>
      <c r="C282" s="2" t="s">
        <v>295</v>
      </c>
      <c r="D282" s="3">
        <v>2098759</v>
      </c>
      <c r="E282" s="3">
        <v>18311</v>
      </c>
      <c r="F282" s="3">
        <v>119</v>
      </c>
      <c r="G282" s="3" t="s">
        <v>12</v>
      </c>
      <c r="H282" s="3" t="str">
        <f ca="1">IFERROR(__xludf.DUMMYFUNCTION("GOOGLETRANSLATE(B282,""auto"",""en"")"),"Furniture, furnishings")</f>
        <v>Furniture, furnishings</v>
      </c>
      <c r="I282" s="3" t="str">
        <f ca="1">IFERROR(__xludf.DUMMYFUNCTION("GOOGLETRANSLATE(C282,""auto"",""en"")"),"table")</f>
        <v>table</v>
      </c>
    </row>
    <row r="283" spans="1:9" ht="13" x14ac:dyDescent="0.15">
      <c r="A283" s="2" t="s">
        <v>9</v>
      </c>
      <c r="B283" s="2" t="s">
        <v>286</v>
      </c>
      <c r="C283" s="2" t="s">
        <v>296</v>
      </c>
      <c r="D283" s="3">
        <v>2098759</v>
      </c>
      <c r="E283" s="3">
        <v>18311</v>
      </c>
      <c r="F283" s="3">
        <v>37</v>
      </c>
      <c r="G283" s="3" t="s">
        <v>12</v>
      </c>
      <c r="H283" s="3" t="str">
        <f ca="1">IFERROR(__xludf.DUMMYFUNCTION("GOOGLETRANSLATE(B283,""auto"",""en"")"),"Furniture, furnishings")</f>
        <v>Furniture, furnishings</v>
      </c>
      <c r="I283" s="3" t="str">
        <f ca="1">IFERROR(__xludf.DUMMYFUNCTION("GOOGLETRANSLATE(C283,""auto"",""en"")"),"Bed / Mattress")</f>
        <v>Bed / Mattress</v>
      </c>
    </row>
    <row r="284" spans="1:9" ht="13" x14ac:dyDescent="0.15">
      <c r="A284" s="2" t="s">
        <v>9</v>
      </c>
      <c r="B284" s="2" t="s">
        <v>286</v>
      </c>
      <c r="C284" s="2" t="s">
        <v>297</v>
      </c>
      <c r="D284" s="3">
        <v>2098759</v>
      </c>
      <c r="E284" s="3">
        <v>18311</v>
      </c>
      <c r="F284" s="3">
        <v>18</v>
      </c>
      <c r="G284" s="3" t="s">
        <v>12</v>
      </c>
      <c r="H284" s="3" t="str">
        <f ca="1">IFERROR(__xludf.DUMMYFUNCTION("GOOGLETRANSLATE(B284,""auto"",""en"")"),"Furniture, furnishings")</f>
        <v>Furniture, furnishings</v>
      </c>
      <c r="I284" s="3" t="str">
        <f ca="1">IFERROR(__xludf.DUMMYFUNCTION("GOOGLETRANSLATE(C284,""auto"",""en"")"),"sofa")</f>
        <v>sofa</v>
      </c>
    </row>
    <row r="285" spans="1:9" ht="13" x14ac:dyDescent="0.15">
      <c r="A285" s="2" t="s">
        <v>9</v>
      </c>
      <c r="B285" s="2" t="s">
        <v>286</v>
      </c>
      <c r="C285" s="2" t="s">
        <v>298</v>
      </c>
      <c r="D285" s="3">
        <v>2098759</v>
      </c>
      <c r="E285" s="3">
        <v>18311</v>
      </c>
      <c r="F285" s="3">
        <v>15</v>
      </c>
      <c r="G285" s="3" t="s">
        <v>12</v>
      </c>
      <c r="H285" s="3" t="str">
        <f ca="1">IFERROR(__xludf.DUMMYFUNCTION("GOOGLETRANSLATE(B285,""auto"",""en"")"),"Furniture, furnishings")</f>
        <v>Furniture, furnishings</v>
      </c>
      <c r="I285" s="3" t="str">
        <f ca="1">IFERROR(__xludf.DUMMYFUNCTION("GOOGLETRANSLATE(C285,""auto"",""en"")"),"Screen / window flower")</f>
        <v>Screen / window flower</v>
      </c>
    </row>
    <row r="286" spans="1:9" ht="13" x14ac:dyDescent="0.15">
      <c r="A286" s="2" t="s">
        <v>9</v>
      </c>
      <c r="B286" s="2" t="s">
        <v>286</v>
      </c>
      <c r="C286" s="2" t="s">
        <v>299</v>
      </c>
      <c r="D286" s="3">
        <v>2098759</v>
      </c>
      <c r="E286" s="3">
        <v>18311</v>
      </c>
      <c r="F286" s="3">
        <v>15</v>
      </c>
      <c r="G286" s="3" t="s">
        <v>12</v>
      </c>
      <c r="H286" s="3" t="str">
        <f ca="1">IFERROR(__xludf.DUMMYFUNCTION("GOOGLETRANSLATE(B286,""auto"",""en"")"),"Furniture, furnishings")</f>
        <v>Furniture, furnishings</v>
      </c>
      <c r="I286" s="3" t="str">
        <f ca="1">IFERROR(__xludf.DUMMYFUNCTION("GOOGLETRANSLATE(C286,""auto"",""en"")"),"Several categories")</f>
        <v>Several categories</v>
      </c>
    </row>
    <row r="287" spans="1:9" ht="13" x14ac:dyDescent="0.15">
      <c r="A287" s="2" t="s">
        <v>9</v>
      </c>
      <c r="B287" s="2" t="s">
        <v>286</v>
      </c>
      <c r="C287" s="2" t="s">
        <v>300</v>
      </c>
      <c r="D287" s="3">
        <v>2098759</v>
      </c>
      <c r="E287" s="3">
        <v>18311</v>
      </c>
      <c r="F287" s="3">
        <v>1</v>
      </c>
      <c r="G287" s="3" t="s">
        <v>12</v>
      </c>
      <c r="H287" s="3" t="str">
        <f ca="1">IFERROR(__xludf.DUMMYFUNCTION("GOOGLETRANSLATE(B287,""auto"",""en"")"),"Furniture, furnishings")</f>
        <v>Furniture, furnishings</v>
      </c>
      <c r="I287" s="3" t="str">
        <f ca="1">IFERROR(__xludf.DUMMYFUNCTION("GOOGLETRANSLATE(C287,""auto"",""en"")"),"Box class")</f>
        <v>Box class</v>
      </c>
    </row>
    <row r="288" spans="1:9" ht="13" x14ac:dyDescent="0.15">
      <c r="A288" s="2" t="s">
        <v>9</v>
      </c>
      <c r="B288" s="2" t="s">
        <v>301</v>
      </c>
      <c r="C288" s="2" t="s">
        <v>92</v>
      </c>
      <c r="D288" s="3">
        <v>2098759</v>
      </c>
      <c r="E288" s="3">
        <v>2597</v>
      </c>
      <c r="F288" s="3">
        <v>631</v>
      </c>
      <c r="G288" s="3" t="s">
        <v>12</v>
      </c>
      <c r="H288" s="3" t="str">
        <f ca="1">IFERROR(__xludf.DUMMYFUNCTION("GOOGLETRANSLATE(B288,""auto"",""en"")"),"Auto Accessories, Accessories")</f>
        <v>Auto Accessories, Accessories</v>
      </c>
      <c r="I288" s="3" t="str">
        <f ca="1">IFERROR(__xludf.DUMMYFUNCTION("GOOGLETRANSLATE(C288,""auto"",""en"")"),"other")</f>
        <v>other</v>
      </c>
    </row>
    <row r="289" spans="1:9" ht="13" x14ac:dyDescent="0.15">
      <c r="A289" s="2" t="s">
        <v>9</v>
      </c>
      <c r="B289" s="2" t="s">
        <v>301</v>
      </c>
      <c r="C289" s="2" t="s">
        <v>302</v>
      </c>
      <c r="D289" s="3">
        <v>2098759</v>
      </c>
      <c r="E289" s="3">
        <v>2597</v>
      </c>
      <c r="F289" s="3">
        <v>415</v>
      </c>
      <c r="G289" s="3" t="s">
        <v>12</v>
      </c>
      <c r="H289" s="3" t="str">
        <f ca="1">IFERROR(__xludf.DUMMYFUNCTION("GOOGLETRANSLATE(B289,""auto"",""en"")"),"Auto Accessories, Accessories")</f>
        <v>Auto Accessories, Accessories</v>
      </c>
      <c r="I289" s="3" t="str">
        <f ca="1">IFERROR(__xludf.DUMMYFUNCTION("GOOGLETRANSLATE(C289,""auto"",""en"")"),"Decoration")</f>
        <v>Decoration</v>
      </c>
    </row>
    <row r="290" spans="1:9" ht="13" x14ac:dyDescent="0.15">
      <c r="A290" s="2" t="s">
        <v>9</v>
      </c>
      <c r="B290" s="2" t="s">
        <v>301</v>
      </c>
      <c r="C290" s="2" t="s">
        <v>303</v>
      </c>
      <c r="D290" s="3">
        <v>2098759</v>
      </c>
      <c r="E290" s="3">
        <v>2597</v>
      </c>
      <c r="F290" s="3">
        <v>188</v>
      </c>
      <c r="G290" s="3" t="s">
        <v>12</v>
      </c>
      <c r="H290" s="3" t="str">
        <f ca="1">IFERROR(__xludf.DUMMYFUNCTION("GOOGLETRANSLATE(B290,""auto"",""en"")"),"Auto Accessories, Accessories")</f>
        <v>Auto Accessories, Accessories</v>
      </c>
      <c r="I290" s="3" t="str">
        <f ca="1">IFERROR(__xludf.DUMMYFUNCTION("GOOGLETRANSLATE(C290,""auto"",""en"")"),"Sunshade")</f>
        <v>Sunshade</v>
      </c>
    </row>
    <row r="291" spans="1:9" ht="13" x14ac:dyDescent="0.15">
      <c r="A291" s="2" t="s">
        <v>9</v>
      </c>
      <c r="B291" s="2" t="s">
        <v>301</v>
      </c>
      <c r="C291" s="2" t="s">
        <v>304</v>
      </c>
      <c r="D291" s="3">
        <v>2098759</v>
      </c>
      <c r="E291" s="3">
        <v>2597</v>
      </c>
      <c r="F291" s="3">
        <v>180</v>
      </c>
      <c r="G291" s="3" t="s">
        <v>12</v>
      </c>
      <c r="H291" s="3" t="str">
        <f ca="1">IFERROR(__xludf.DUMMYFUNCTION("GOOGLETRANSLATE(B291,""auto"",""en"")"),"Auto Accessories, Accessories")</f>
        <v>Auto Accessories, Accessories</v>
      </c>
      <c r="I291" s="3" t="str">
        <f ca="1">IFERROR(__xludf.DUMMYFUNCTION("GOOGLETRANSLATE(C291,""auto"",""en"")"),"Lumbar support")</f>
        <v>Lumbar support</v>
      </c>
    </row>
    <row r="292" spans="1:9" ht="13" x14ac:dyDescent="0.15">
      <c r="A292" s="2" t="s">
        <v>9</v>
      </c>
      <c r="B292" s="2" t="s">
        <v>301</v>
      </c>
      <c r="C292" s="2" t="s">
        <v>305</v>
      </c>
      <c r="D292" s="3">
        <v>2098759</v>
      </c>
      <c r="E292" s="3">
        <v>2597</v>
      </c>
      <c r="F292" s="3">
        <v>176</v>
      </c>
      <c r="G292" s="3" t="s">
        <v>12</v>
      </c>
      <c r="H292" s="3" t="str">
        <f ca="1">IFERROR(__xludf.DUMMYFUNCTION("GOOGLETRANSLATE(B292,""auto"",""en"")"),"Auto Accessories, Accessories")</f>
        <v>Auto Accessories, Accessories</v>
      </c>
      <c r="I292" s="3" t="str">
        <f ca="1">IFERROR(__xludf.DUMMYFUNCTION("GOOGLETRANSLATE(C292,""auto"",""en"")"),"Perfume / purification / cooling agent")</f>
        <v>Perfume / purification / cooling agent</v>
      </c>
    </row>
    <row r="293" spans="1:9" ht="13" x14ac:dyDescent="0.15">
      <c r="A293" s="2" t="s">
        <v>9</v>
      </c>
      <c r="B293" s="2" t="s">
        <v>301</v>
      </c>
      <c r="C293" s="2" t="s">
        <v>306</v>
      </c>
      <c r="D293" s="3">
        <v>2098759</v>
      </c>
      <c r="E293" s="3">
        <v>2597</v>
      </c>
      <c r="F293" s="3">
        <v>140</v>
      </c>
      <c r="G293" s="3" t="s">
        <v>12</v>
      </c>
      <c r="H293" s="3" t="str">
        <f ca="1">IFERROR(__xludf.DUMMYFUNCTION("GOOGLETRANSLATE(B293,""auto"",""en"")"),"Auto Accessories, Accessories")</f>
        <v>Auto Accessories, Accessories</v>
      </c>
      <c r="I293" s="3" t="str">
        <f ca="1">IFERROR(__xludf.DUMMYFUNCTION("GOOGLETRANSLATE(C293,""auto"",""en"")"),"Car seat")</f>
        <v>Car seat</v>
      </c>
    </row>
    <row r="294" spans="1:9" ht="13" x14ac:dyDescent="0.15">
      <c r="A294" s="2" t="s">
        <v>9</v>
      </c>
      <c r="B294" s="2" t="s">
        <v>301</v>
      </c>
      <c r="C294" s="2" t="s">
        <v>307</v>
      </c>
      <c r="D294" s="3">
        <v>2098759</v>
      </c>
      <c r="E294" s="3">
        <v>2597</v>
      </c>
      <c r="F294" s="3">
        <v>132</v>
      </c>
      <c r="G294" s="3" t="s">
        <v>12</v>
      </c>
      <c r="H294" s="3" t="str">
        <f ca="1">IFERROR(__xludf.DUMMYFUNCTION("GOOGLETRANSLATE(B294,""auto"",""en"")"),"Auto Accessories, Accessories")</f>
        <v>Auto Accessories, Accessories</v>
      </c>
      <c r="I294" s="3" t="str">
        <f ca="1">IFERROR(__xludf.DUMMYFUNCTION("GOOGLETRANSLATE(C294,""auto"",""en"")"),"Car brush")</f>
        <v>Car brush</v>
      </c>
    </row>
    <row r="295" spans="1:9" ht="13" x14ac:dyDescent="0.15">
      <c r="A295" s="2" t="s">
        <v>9</v>
      </c>
      <c r="B295" s="2" t="s">
        <v>301</v>
      </c>
      <c r="C295" s="2" t="s">
        <v>308</v>
      </c>
      <c r="D295" s="3">
        <v>2098759</v>
      </c>
      <c r="E295" s="3">
        <v>2597</v>
      </c>
      <c r="F295" s="3">
        <v>126</v>
      </c>
      <c r="G295" s="3" t="s">
        <v>12</v>
      </c>
      <c r="H295" s="3" t="str">
        <f ca="1">IFERROR(__xludf.DUMMYFUNCTION("GOOGLETRANSLATE(B295,""auto"",""en"")"),"Auto Accessories, Accessories")</f>
        <v>Auto Accessories, Accessories</v>
      </c>
      <c r="I295" s="3" t="str">
        <f ca="1">IFERROR(__xludf.DUMMYFUNCTION("GOOGLETRANSLATE(C295,""auto"",""en"")"),"seat cushion")</f>
        <v>seat cushion</v>
      </c>
    </row>
    <row r="296" spans="1:9" ht="13" x14ac:dyDescent="0.15">
      <c r="A296" s="2" t="s">
        <v>9</v>
      </c>
      <c r="B296" s="2" t="s">
        <v>301</v>
      </c>
      <c r="C296" s="2" t="s">
        <v>309</v>
      </c>
      <c r="D296" s="3">
        <v>2098759</v>
      </c>
      <c r="E296" s="3">
        <v>2597</v>
      </c>
      <c r="F296" s="3">
        <v>113</v>
      </c>
      <c r="G296" s="3" t="s">
        <v>12</v>
      </c>
      <c r="H296" s="3" t="str">
        <f ca="1">IFERROR(__xludf.DUMMYFUNCTION("GOOGLETRANSLATE(B296,""auto"",""en"")"),"Auto Accessories, Accessories")</f>
        <v>Auto Accessories, Accessories</v>
      </c>
      <c r="I296" s="3" t="str">
        <f ca="1">IFERROR(__xludf.DUMMYFUNCTION("GOOGLETRANSLATE(C296,""auto"",""en"")"),"Car wash water gun")</f>
        <v>Car wash water gun</v>
      </c>
    </row>
    <row r="297" spans="1:9" ht="13" x14ac:dyDescent="0.15">
      <c r="A297" s="2" t="s">
        <v>9</v>
      </c>
      <c r="B297" s="2" t="s">
        <v>301</v>
      </c>
      <c r="C297" s="2" t="s">
        <v>310</v>
      </c>
      <c r="D297" s="3">
        <v>2098759</v>
      </c>
      <c r="E297" s="3">
        <v>2597</v>
      </c>
      <c r="F297" s="3">
        <v>88</v>
      </c>
      <c r="G297" s="3" t="s">
        <v>12</v>
      </c>
      <c r="H297" s="3" t="str">
        <f ca="1">IFERROR(__xludf.DUMMYFUNCTION("GOOGLETRANSLATE(B297,""auto"",""en"")"),"Auto Accessories, Accessories")</f>
        <v>Auto Accessories, Accessories</v>
      </c>
      <c r="I297" s="3" t="str">
        <f ca="1">IFERROR(__xludf.DUMMYFUNCTION("GOOGLETRANSLATE(C297,""auto"",""en"")"),"Cache towels")</f>
        <v>Cache towels</v>
      </c>
    </row>
    <row r="298" spans="1:9" ht="13" x14ac:dyDescent="0.15">
      <c r="A298" s="2" t="s">
        <v>9</v>
      </c>
      <c r="B298" s="2" t="s">
        <v>301</v>
      </c>
      <c r="C298" s="2" t="s">
        <v>311</v>
      </c>
      <c r="D298" s="3">
        <v>2098759</v>
      </c>
      <c r="E298" s="3">
        <v>2597</v>
      </c>
      <c r="F298" s="3">
        <v>73</v>
      </c>
      <c r="G298" s="3" t="s">
        <v>12</v>
      </c>
      <c r="H298" s="3" t="str">
        <f ca="1">IFERROR(__xludf.DUMMYFUNCTION("GOOGLETRANSLATE(B298,""auto"",""en"")"),"Auto Accessories, Accessories")</f>
        <v>Auto Accessories, Accessories</v>
      </c>
      <c r="I298" s="3" t="str">
        <f ca="1">IFERROR(__xludf.DUMMYFUNCTION("GOOGLETRANSLATE(C298,""auto"",""en"")"),"steering wheel cover")</f>
        <v>steering wheel cover</v>
      </c>
    </row>
    <row r="299" spans="1:9" ht="13" x14ac:dyDescent="0.15">
      <c r="A299" s="2" t="s">
        <v>9</v>
      </c>
      <c r="B299" s="2" t="s">
        <v>301</v>
      </c>
      <c r="C299" s="2" t="s">
        <v>312</v>
      </c>
      <c r="D299" s="3">
        <v>2098759</v>
      </c>
      <c r="E299" s="3">
        <v>2597</v>
      </c>
      <c r="F299" s="3">
        <v>60</v>
      </c>
      <c r="G299" s="3" t="s">
        <v>12</v>
      </c>
      <c r="H299" s="3" t="str">
        <f ca="1">IFERROR(__xludf.DUMMYFUNCTION("GOOGLETRANSLATE(B299,""auto"",""en"")"),"Auto Accessories, Accessories")</f>
        <v>Auto Accessories, Accessories</v>
      </c>
      <c r="I299" s="3" t="str">
        <f ca="1">IFERROR(__xludf.DUMMYFUNCTION("GOOGLETRANSLATE(C299,""auto"",""en"")"),"Car trash")</f>
        <v>Car trash</v>
      </c>
    </row>
    <row r="300" spans="1:9" ht="13" x14ac:dyDescent="0.15">
      <c r="A300" s="2" t="s">
        <v>9</v>
      </c>
      <c r="B300" s="2" t="s">
        <v>301</v>
      </c>
      <c r="C300" s="2" t="s">
        <v>313</v>
      </c>
      <c r="D300" s="3">
        <v>2098759</v>
      </c>
      <c r="E300" s="3">
        <v>2597</v>
      </c>
      <c r="F300" s="3">
        <v>58</v>
      </c>
      <c r="G300" s="3" t="s">
        <v>12</v>
      </c>
      <c r="H300" s="3" t="str">
        <f ca="1">IFERROR(__xludf.DUMMYFUNCTION("GOOGLETRANSLATE(B300,""auto"",""en"")"),"Auto Accessories, Accessories")</f>
        <v>Auto Accessories, Accessories</v>
      </c>
      <c r="I300" s="3" t="str">
        <f ca="1">IFERROR(__xludf.DUMMYFUNCTION("GOOGLETRANSLATE(C300,""auto"",""en"")"),"Car wash / wax / remover")</f>
        <v>Car wash / wax / remover</v>
      </c>
    </row>
    <row r="301" spans="1:9" ht="13" x14ac:dyDescent="0.15">
      <c r="A301" s="2" t="s">
        <v>9</v>
      </c>
      <c r="B301" s="2" t="s">
        <v>301</v>
      </c>
      <c r="C301" s="2" t="s">
        <v>314</v>
      </c>
      <c r="D301" s="3">
        <v>2098759</v>
      </c>
      <c r="E301" s="3">
        <v>2597</v>
      </c>
      <c r="F301" s="3">
        <v>33</v>
      </c>
      <c r="G301" s="3" t="s">
        <v>12</v>
      </c>
      <c r="H301" s="3" t="str">
        <f ca="1">IFERROR(__xludf.DUMMYFUNCTION("GOOGLETRANSLATE(B301,""auto"",""en"")"),"Auto Accessories, Accessories")</f>
        <v>Auto Accessories, Accessories</v>
      </c>
      <c r="I301" s="3" t="str">
        <f ca="1">IFERROR(__xludf.DUMMYFUNCTION("GOOGLETRANSLATE(C301,""auto"",""en"")"),"Headrest")</f>
        <v>Headrest</v>
      </c>
    </row>
    <row r="302" spans="1:9" ht="13" x14ac:dyDescent="0.15">
      <c r="A302" s="2" t="s">
        <v>9</v>
      </c>
      <c r="B302" s="2" t="s">
        <v>301</v>
      </c>
      <c r="C302" s="2" t="s">
        <v>315</v>
      </c>
      <c r="D302" s="3">
        <v>2098759</v>
      </c>
      <c r="E302" s="3">
        <v>2597</v>
      </c>
      <c r="F302" s="3">
        <v>32</v>
      </c>
      <c r="G302" s="3" t="s">
        <v>12</v>
      </c>
      <c r="H302" s="3" t="str">
        <f ca="1">IFERROR(__xludf.DUMMYFUNCTION("GOOGLETRANSLATE(B302,""auto"",""en"")"),"Auto Accessories, Accessories")</f>
        <v>Auto Accessories, Accessories</v>
      </c>
      <c r="I302" s="3" t="str">
        <f ca="1">IFERROR(__xludf.DUMMYFUNCTION("GOOGLETRANSLATE(C302,""auto"",""en"")"),"Car cleaners")</f>
        <v>Car cleaners</v>
      </c>
    </row>
    <row r="303" spans="1:9" ht="13" x14ac:dyDescent="0.15">
      <c r="A303" s="2" t="s">
        <v>9</v>
      </c>
      <c r="B303" s="2" t="s">
        <v>301</v>
      </c>
      <c r="C303" s="2" t="s">
        <v>316</v>
      </c>
      <c r="D303" s="3">
        <v>2098759</v>
      </c>
      <c r="E303" s="3">
        <v>2597</v>
      </c>
      <c r="F303" s="3">
        <v>24</v>
      </c>
      <c r="G303" s="3" t="s">
        <v>12</v>
      </c>
      <c r="H303" s="3" t="str">
        <f ca="1">IFERROR(__xludf.DUMMYFUNCTION("GOOGLETRANSLATE(B303,""auto"",""en"")"),"Auto Accessories, Accessories")</f>
        <v>Auto Accessories, Accessories</v>
      </c>
      <c r="I303" s="3" t="str">
        <f ca="1">IFERROR(__xludf.DUMMYFUNCTION("GOOGLETRANSLATE(C303,""auto"",""en"")"),"Car mats")</f>
        <v>Car mats</v>
      </c>
    </row>
    <row r="304" spans="1:9" ht="13" x14ac:dyDescent="0.15">
      <c r="A304" s="2" t="s">
        <v>9</v>
      </c>
      <c r="B304" s="2" t="s">
        <v>301</v>
      </c>
      <c r="C304" s="2" t="s">
        <v>317</v>
      </c>
      <c r="D304" s="3">
        <v>2098759</v>
      </c>
      <c r="E304" s="3">
        <v>2597</v>
      </c>
      <c r="F304" s="3">
        <v>22</v>
      </c>
      <c r="G304" s="3" t="s">
        <v>12</v>
      </c>
      <c r="H304" s="3" t="str">
        <f ca="1">IFERROR(__xludf.DUMMYFUNCTION("GOOGLETRANSLATE(B304,""auto"",""en"")"),"Auto Accessories, Accessories")</f>
        <v>Auto Accessories, Accessories</v>
      </c>
      <c r="I304" s="3" t="str">
        <f ca="1">IFERROR(__xludf.DUMMYFUNCTION("GOOGLETRANSLATE(C304,""auto"",""en"")"),"Anti-skid pad / protective pad")</f>
        <v>Anti-skid pad / protective pad</v>
      </c>
    </row>
    <row r="305" spans="1:9" ht="13" x14ac:dyDescent="0.15">
      <c r="A305" s="2" t="s">
        <v>9</v>
      </c>
      <c r="B305" s="2" t="s">
        <v>301</v>
      </c>
      <c r="C305" s="3" t="s">
        <v>318</v>
      </c>
      <c r="D305" s="3">
        <v>2098759</v>
      </c>
      <c r="E305" s="3">
        <v>2597</v>
      </c>
      <c r="F305" s="3">
        <v>19</v>
      </c>
      <c r="G305" s="3" t="s">
        <v>12</v>
      </c>
      <c r="H305" s="3" t="str">
        <f ca="1">IFERROR(__xludf.DUMMYFUNCTION("GOOGLETRANSLATE(B305,""auto"",""en"")"),"Auto Accessories, Accessories")</f>
        <v>Auto Accessories, Accessories</v>
      </c>
      <c r="I305" s="3" t="str">
        <f ca="1">IFERROR(__xludf.DUMMYFUNCTION("GOOGLETRANSLATE(C305,""auto"",""en"")"),"cd bag / folder / bag")</f>
        <v>cd bag / folder / bag</v>
      </c>
    </row>
    <row r="306" spans="1:9" ht="13" x14ac:dyDescent="0.15">
      <c r="A306" s="2" t="s">
        <v>9</v>
      </c>
      <c r="B306" s="2" t="s">
        <v>301</v>
      </c>
      <c r="C306" s="2" t="s">
        <v>319</v>
      </c>
      <c r="D306" s="3">
        <v>2098759</v>
      </c>
      <c r="E306" s="3">
        <v>2597</v>
      </c>
      <c r="F306" s="3">
        <v>15</v>
      </c>
      <c r="G306" s="3" t="s">
        <v>12</v>
      </c>
      <c r="H306" s="3" t="str">
        <f ca="1">IFERROR(__xludf.DUMMYFUNCTION("GOOGLETRANSLATE(B306,""auto"",""en"")"),"Auto Accessories, Accessories")</f>
        <v>Auto Accessories, Accessories</v>
      </c>
      <c r="I306" s="3" t="str">
        <f ca="1">IFERROR(__xludf.DUMMYFUNCTION("GOOGLETRANSLATE(C306,""auto"",""en"")"),"Car wash sponge / wash mud")</f>
        <v>Car wash sponge / wash mud</v>
      </c>
    </row>
    <row r="307" spans="1:9" ht="13" x14ac:dyDescent="0.15">
      <c r="A307" s="2" t="s">
        <v>9</v>
      </c>
      <c r="B307" s="2" t="s">
        <v>301</v>
      </c>
      <c r="C307" s="2" t="s">
        <v>320</v>
      </c>
      <c r="D307" s="3">
        <v>2098759</v>
      </c>
      <c r="E307" s="3">
        <v>2597</v>
      </c>
      <c r="F307" s="3">
        <v>15</v>
      </c>
      <c r="G307" s="3" t="s">
        <v>12</v>
      </c>
      <c r="H307" s="3" t="str">
        <f ca="1">IFERROR(__xludf.DUMMYFUNCTION("GOOGLETRANSLATE(B307,""auto"",""en"")"),"Auto Accessories, Accessories")</f>
        <v>Auto Accessories, Accessories</v>
      </c>
      <c r="I307" s="3" t="str">
        <f ca="1">IFERROR(__xludf.DUMMYFUNCTION("GOOGLETRANSLATE(C307,""auto"",""en"")"),"Pillow")</f>
        <v>Pillow</v>
      </c>
    </row>
    <row r="308" spans="1:9" ht="13" x14ac:dyDescent="0.15">
      <c r="A308" s="2" t="s">
        <v>9</v>
      </c>
      <c r="B308" s="2" t="s">
        <v>301</v>
      </c>
      <c r="C308" s="2" t="s">
        <v>321</v>
      </c>
      <c r="D308" s="3">
        <v>2098759</v>
      </c>
      <c r="E308" s="3">
        <v>2597</v>
      </c>
      <c r="F308" s="3">
        <v>13</v>
      </c>
      <c r="G308" s="3" t="s">
        <v>12</v>
      </c>
      <c r="H308" s="3" t="str">
        <f ca="1">IFERROR(__xludf.DUMMYFUNCTION("GOOGLETRANSLATE(B308,""auto"",""en"")"),"Auto Accessories, Accessories")</f>
        <v>Auto Accessories, Accessories</v>
      </c>
      <c r="I308" s="3" t="str">
        <f ca="1">IFERROR(__xludf.DUMMYFUNCTION("GOOGLETRANSLATE(C308,""auto"",""en"")"),"Seat mat")</f>
        <v>Seat mat</v>
      </c>
    </row>
    <row r="309" spans="1:9" ht="13" x14ac:dyDescent="0.15">
      <c r="A309" s="2" t="s">
        <v>9</v>
      </c>
      <c r="B309" s="2" t="s">
        <v>301</v>
      </c>
      <c r="C309" s="2" t="s">
        <v>322</v>
      </c>
      <c r="D309" s="3">
        <v>2098759</v>
      </c>
      <c r="E309" s="3">
        <v>2597</v>
      </c>
      <c r="F309" s="3">
        <v>10</v>
      </c>
      <c r="G309" s="3" t="s">
        <v>12</v>
      </c>
      <c r="H309" s="3" t="str">
        <f ca="1">IFERROR(__xludf.DUMMYFUNCTION("GOOGLETRANSLATE(B309,""auto"",""en"")"),"Auto Accessories, Accessories")</f>
        <v>Auto Accessories, Accessories</v>
      </c>
      <c r="I309" s="3" t="str">
        <f ca="1">IFERROR(__xludf.DUMMYFUNCTION("GOOGLETRANSLATE(C309,""auto"",""en"")"),"Car Seat Cover")</f>
        <v>Car Seat Cover</v>
      </c>
    </row>
    <row r="310" spans="1:9" ht="13" x14ac:dyDescent="0.15">
      <c r="A310" s="2" t="s">
        <v>9</v>
      </c>
      <c r="B310" s="2" t="s">
        <v>301</v>
      </c>
      <c r="C310" s="2" t="s">
        <v>323</v>
      </c>
      <c r="D310" s="3">
        <v>2098759</v>
      </c>
      <c r="E310" s="3">
        <v>2597</v>
      </c>
      <c r="F310" s="3">
        <v>10</v>
      </c>
      <c r="G310" s="3" t="s">
        <v>12</v>
      </c>
      <c r="H310" s="3" t="str">
        <f ca="1">IFERROR(__xludf.DUMMYFUNCTION("GOOGLETRANSLATE(B310,""auto"",""en"")"),"Auto Accessories, Accessories")</f>
        <v>Auto Accessories, Accessories</v>
      </c>
      <c r="I310" s="3" t="str">
        <f ca="1">IFERROR(__xludf.DUMMYFUNCTION("GOOGLETRANSLATE(C310,""auto"",""en"")"),"Car bucket")</f>
        <v>Car bucket</v>
      </c>
    </row>
    <row r="311" spans="1:9" ht="13" x14ac:dyDescent="0.15">
      <c r="A311" s="2" t="s">
        <v>9</v>
      </c>
      <c r="B311" s="2" t="s">
        <v>301</v>
      </c>
      <c r="C311" s="2" t="s">
        <v>324</v>
      </c>
      <c r="D311" s="3">
        <v>2098759</v>
      </c>
      <c r="E311" s="3">
        <v>2597</v>
      </c>
      <c r="F311" s="3">
        <v>10</v>
      </c>
      <c r="G311" s="3" t="s">
        <v>12</v>
      </c>
      <c r="H311" s="3" t="str">
        <f ca="1">IFERROR(__xludf.DUMMYFUNCTION("GOOGLETRANSLATE(B311,""auto"",""en"")"),"Auto Accessories, Accessories")</f>
        <v>Auto Accessories, Accessories</v>
      </c>
      <c r="I311" s="3" t="str">
        <f ca="1">IFERROR(__xludf.DUMMYFUNCTION("GOOGLETRANSLATE(C311,""auto"",""en"")"),"Car Curtain")</f>
        <v>Car Curtain</v>
      </c>
    </row>
    <row r="312" spans="1:9" ht="13" x14ac:dyDescent="0.15">
      <c r="A312" s="2" t="s">
        <v>9</v>
      </c>
      <c r="B312" s="2" t="s">
        <v>301</v>
      </c>
      <c r="C312" s="2" t="s">
        <v>325</v>
      </c>
      <c r="D312" s="3">
        <v>2098759</v>
      </c>
      <c r="E312" s="3">
        <v>2597</v>
      </c>
      <c r="F312" s="3">
        <v>5</v>
      </c>
      <c r="G312" s="3" t="s">
        <v>12</v>
      </c>
      <c r="H312" s="3" t="str">
        <f ca="1">IFERROR(__xludf.DUMMYFUNCTION("GOOGLETRANSLATE(B312,""auto"",""en"")"),"Auto Accessories, Accessories")</f>
        <v>Auto Accessories, Accessories</v>
      </c>
      <c r="I312" s="3" t="str">
        <f ca="1">IFERROR(__xludf.DUMMYFUNCTION("GOOGLETRANSLATE(C312,""auto"",""en"")"),"Tachograph")</f>
        <v>Tachograph</v>
      </c>
    </row>
    <row r="313" spans="1:9" ht="13" x14ac:dyDescent="0.15">
      <c r="A313" s="2" t="s">
        <v>9</v>
      </c>
      <c r="B313" s="2" t="s">
        <v>301</v>
      </c>
      <c r="C313" s="2" t="s">
        <v>326</v>
      </c>
      <c r="D313" s="3">
        <v>2098759</v>
      </c>
      <c r="E313" s="3">
        <v>2597</v>
      </c>
      <c r="F313" s="3">
        <v>4</v>
      </c>
      <c r="G313" s="3" t="s">
        <v>12</v>
      </c>
      <c r="H313" s="3" t="str">
        <f ca="1">IFERROR(__xludf.DUMMYFUNCTION("GOOGLETRANSLATE(B313,""auto"",""en"")"),"Auto Accessories, Accessories")</f>
        <v>Auto Accessories, Accessories</v>
      </c>
      <c r="I313" s="3" t="str">
        <f ca="1">IFERROR(__xludf.DUMMYFUNCTION("GOOGLETRANSLATE(C313,""auto"",""en"")"),"Car trunk mat")</f>
        <v>Car trunk mat</v>
      </c>
    </row>
    <row r="314" spans="1:9" ht="13" x14ac:dyDescent="0.15">
      <c r="A314" s="2" t="s">
        <v>9</v>
      </c>
      <c r="B314" s="2" t="s">
        <v>301</v>
      </c>
      <c r="C314" s="2" t="s">
        <v>327</v>
      </c>
      <c r="D314" s="3">
        <v>2098759</v>
      </c>
      <c r="E314" s="3">
        <v>2597</v>
      </c>
      <c r="F314" s="3">
        <v>3</v>
      </c>
      <c r="G314" s="3" t="s">
        <v>12</v>
      </c>
      <c r="H314" s="3" t="str">
        <f ca="1">IFERROR(__xludf.DUMMYFUNCTION("GOOGLETRANSLATE(B314,""auto"",""en"")"),"Auto Accessories, Accessories")</f>
        <v>Auto Accessories, Accessories</v>
      </c>
      <c r="I314" s="3" t="str">
        <f ca="1">IFERROR(__xludf.DUMMYFUNCTION("GOOGLETRANSLATE(C314,""auto"",""en"")"),"Car wash gloves")</f>
        <v>Car wash gloves</v>
      </c>
    </row>
    <row r="315" spans="1:9" ht="13" x14ac:dyDescent="0.15">
      <c r="A315" s="2" t="s">
        <v>9</v>
      </c>
      <c r="B315" s="2" t="s">
        <v>301</v>
      </c>
      <c r="C315" s="2" t="s">
        <v>328</v>
      </c>
      <c r="D315" s="3">
        <v>2098759</v>
      </c>
      <c r="E315" s="3">
        <v>2597</v>
      </c>
      <c r="F315" s="3">
        <v>1</v>
      </c>
      <c r="G315" s="3" t="s">
        <v>12</v>
      </c>
      <c r="H315" s="3" t="str">
        <f ca="1">IFERROR(__xludf.DUMMYFUNCTION("GOOGLETRANSLATE(B315,""auto"",""en"")"),"Auto Accessories, Accessories")</f>
        <v>Auto Accessories, Accessories</v>
      </c>
      <c r="I315" s="3" t="str">
        <f ca="1">IFERROR(__xludf.DUMMYFUNCTION("GOOGLETRANSLATE(C315,""auto"",""en"")"),"Handbrake / stalls / set of ornaments Set")</f>
        <v>Handbrake / stalls / set of ornaments Set</v>
      </c>
    </row>
    <row r="316" spans="1:9" ht="13" x14ac:dyDescent="0.15">
      <c r="A316" s="2" t="s">
        <v>9</v>
      </c>
      <c r="B316" s="2" t="s">
        <v>301</v>
      </c>
      <c r="C316" s="2" t="s">
        <v>329</v>
      </c>
      <c r="D316" s="3">
        <v>2098759</v>
      </c>
      <c r="E316" s="3">
        <v>2597</v>
      </c>
      <c r="F316" s="3">
        <v>1</v>
      </c>
      <c r="G316" s="3" t="s">
        <v>12</v>
      </c>
      <c r="H316" s="3" t="str">
        <f ca="1">IFERROR(__xludf.DUMMYFUNCTION("GOOGLETRANSLATE(B316,""auto"",""en"")"),"Auto Accessories, Accessories")</f>
        <v>Auto Accessories, Accessories</v>
      </c>
      <c r="I316" s="3" t="str">
        <f ca="1">IFERROR(__xludf.DUMMYFUNCTION("GOOGLETRANSLATE(C316,""auto"",""en"")"),"safety hammer")</f>
        <v>safety hammer</v>
      </c>
    </row>
    <row r="317" spans="1:9" ht="13" x14ac:dyDescent="0.15">
      <c r="A317" s="2" t="s">
        <v>9</v>
      </c>
      <c r="B317" s="2" t="s">
        <v>330</v>
      </c>
      <c r="C317" s="2" t="s">
        <v>331</v>
      </c>
      <c r="D317" s="3">
        <v>2098759</v>
      </c>
      <c r="E317" s="3">
        <v>2270</v>
      </c>
      <c r="F317" s="3">
        <v>666</v>
      </c>
      <c r="G317" s="3" t="s">
        <v>12</v>
      </c>
      <c r="H317" s="3" t="str">
        <f ca="1">IFERROR(__xludf.DUMMYFUNCTION("GOOGLETRANSLATE(B317,""auto"",""en"")"),"Adult Stationery")</f>
        <v>Adult Stationery</v>
      </c>
      <c r="I317" s="3" t="str">
        <f ca="1">IFERROR(__xludf.DUMMYFUNCTION("GOOGLETRANSLATE(C317,""auto"",""en"")"),"Calligraphy posts")</f>
        <v>Calligraphy posts</v>
      </c>
    </row>
    <row r="318" spans="1:9" ht="13" x14ac:dyDescent="0.15">
      <c r="A318" s="2" t="s">
        <v>9</v>
      </c>
      <c r="B318" s="2" t="s">
        <v>330</v>
      </c>
      <c r="C318" s="2" t="s">
        <v>332</v>
      </c>
      <c r="D318" s="3">
        <v>2098759</v>
      </c>
      <c r="E318" s="3">
        <v>2270</v>
      </c>
      <c r="F318" s="3">
        <v>188</v>
      </c>
      <c r="G318" s="3" t="s">
        <v>12</v>
      </c>
      <c r="H318" s="3" t="str">
        <f ca="1">IFERROR(__xludf.DUMMYFUNCTION("GOOGLETRANSLATE(B318,""auto"",""en"")"),"Adult Stationery")</f>
        <v>Adult Stationery</v>
      </c>
      <c r="I318" s="3" t="str">
        <f ca="1">IFERROR(__xludf.DUMMYFUNCTION("GOOGLETRANSLATE(C318,""auto"",""en"")"),"Orb / roll-on / pen")</f>
        <v>Orb / roll-on / pen</v>
      </c>
    </row>
    <row r="319" spans="1:9" ht="13" x14ac:dyDescent="0.15">
      <c r="A319" s="2" t="s">
        <v>9</v>
      </c>
      <c r="B319" s="2" t="s">
        <v>330</v>
      </c>
      <c r="C319" s="2" t="s">
        <v>333</v>
      </c>
      <c r="D319" s="3">
        <v>2098759</v>
      </c>
      <c r="E319" s="3">
        <v>2270</v>
      </c>
      <c r="F319" s="3">
        <v>158</v>
      </c>
      <c r="G319" s="3" t="s">
        <v>12</v>
      </c>
      <c r="H319" s="3" t="str">
        <f ca="1">IFERROR(__xludf.DUMMYFUNCTION("GOOGLETRANSLATE(B319,""auto"",""en"")"),"Adult Stationery")</f>
        <v>Adult Stationery</v>
      </c>
      <c r="I319" s="3" t="str">
        <f ca="1">IFERROR(__xludf.DUMMYFUNCTION("GOOGLETRANSLATE(C319,""auto"",""en"")"),"Wooden pencil")</f>
        <v>Wooden pencil</v>
      </c>
    </row>
    <row r="320" spans="1:9" ht="13" x14ac:dyDescent="0.15">
      <c r="A320" s="2" t="s">
        <v>9</v>
      </c>
      <c r="B320" s="2" t="s">
        <v>330</v>
      </c>
      <c r="C320" s="2" t="s">
        <v>334</v>
      </c>
      <c r="D320" s="3">
        <v>2098759</v>
      </c>
      <c r="E320" s="3">
        <v>2270</v>
      </c>
      <c r="F320" s="3">
        <v>127</v>
      </c>
      <c r="G320" s="3" t="s">
        <v>12</v>
      </c>
      <c r="H320" s="3" t="str">
        <f ca="1">IFERROR(__xludf.DUMMYFUNCTION("GOOGLETRANSLATE(B320,""auto"",""en"")"),"Adult Stationery")</f>
        <v>Adult Stationery</v>
      </c>
      <c r="I320" s="3" t="str">
        <f ca="1">IFERROR(__xludf.DUMMYFUNCTION("GOOGLETRANSLATE(C320,""auto"",""en"")"),"Drawing paper / white Drawing")</f>
        <v>Drawing paper / white Drawing</v>
      </c>
    </row>
    <row r="321" spans="1:9" ht="13" x14ac:dyDescent="0.15">
      <c r="A321" s="2" t="s">
        <v>9</v>
      </c>
      <c r="B321" s="2" t="s">
        <v>330</v>
      </c>
      <c r="C321" s="2" t="s">
        <v>335</v>
      </c>
      <c r="D321" s="3">
        <v>2098759</v>
      </c>
      <c r="E321" s="3">
        <v>2270</v>
      </c>
      <c r="F321" s="3">
        <v>127</v>
      </c>
      <c r="G321" s="3" t="s">
        <v>12</v>
      </c>
      <c r="H321" s="3" t="str">
        <f ca="1">IFERROR(__xludf.DUMMYFUNCTION("GOOGLETRANSLATE(B321,""auto"",""en"")"),"Adult Stationery")</f>
        <v>Adult Stationery</v>
      </c>
      <c r="I321" s="3" t="str">
        <f ca="1">IFERROR(__xludf.DUMMYFUNCTION("GOOGLETRANSLATE(C321,""auto"",""en"")"),"Watercolor / gouache paint")</f>
        <v>Watercolor / gouache paint</v>
      </c>
    </row>
    <row r="322" spans="1:9" ht="13" x14ac:dyDescent="0.15">
      <c r="A322" s="2" t="s">
        <v>9</v>
      </c>
      <c r="B322" s="2" t="s">
        <v>330</v>
      </c>
      <c r="C322" s="2" t="s">
        <v>336</v>
      </c>
      <c r="D322" s="3">
        <v>2098759</v>
      </c>
      <c r="E322" s="3">
        <v>2270</v>
      </c>
      <c r="F322" s="3">
        <v>119</v>
      </c>
      <c r="G322" s="3" t="s">
        <v>12</v>
      </c>
      <c r="H322" s="3" t="str">
        <f ca="1">IFERROR(__xludf.DUMMYFUNCTION("GOOGLETRANSLATE(B322,""auto"",""en"")"),"Adult Stationery")</f>
        <v>Adult Stationery</v>
      </c>
      <c r="I322" s="3" t="str">
        <f ca="1">IFERROR(__xludf.DUMMYFUNCTION("GOOGLETRANSLATE(C322,""auto"",""en"")"),"Ball point pen")</f>
        <v>Ball point pen</v>
      </c>
    </row>
    <row r="323" spans="1:9" ht="13" x14ac:dyDescent="0.15">
      <c r="A323" s="2" t="s">
        <v>9</v>
      </c>
      <c r="B323" s="2" t="s">
        <v>330</v>
      </c>
      <c r="C323" s="2" t="s">
        <v>337</v>
      </c>
      <c r="D323" s="3">
        <v>2098759</v>
      </c>
      <c r="E323" s="3">
        <v>2270</v>
      </c>
      <c r="F323" s="3">
        <v>118</v>
      </c>
      <c r="G323" s="3" t="s">
        <v>12</v>
      </c>
      <c r="H323" s="3" t="str">
        <f ca="1">IFERROR(__xludf.DUMMYFUNCTION("GOOGLETRANSLATE(B323,""auto"",""en"")"),"Adult Stationery")</f>
        <v>Adult Stationery</v>
      </c>
      <c r="I323" s="3" t="str">
        <f ca="1">IFERROR(__xludf.DUMMYFUNCTION("GOOGLETRANSLATE(C323,""auto"",""en"")"),"Cover / Cover")</f>
        <v>Cover / Cover</v>
      </c>
    </row>
    <row r="324" spans="1:9" ht="13" x14ac:dyDescent="0.15">
      <c r="A324" s="2" t="s">
        <v>9</v>
      </c>
      <c r="B324" s="2" t="s">
        <v>330</v>
      </c>
      <c r="C324" s="2" t="s">
        <v>338</v>
      </c>
      <c r="D324" s="3">
        <v>2098759</v>
      </c>
      <c r="E324" s="3">
        <v>2270</v>
      </c>
      <c r="F324" s="3">
        <v>106</v>
      </c>
      <c r="G324" s="3" t="s">
        <v>12</v>
      </c>
      <c r="H324" s="3" t="str">
        <f ca="1">IFERROR(__xludf.DUMMYFUNCTION("GOOGLETRANSLATE(B324,""auto"",""en"")"),"Adult Stationery")</f>
        <v>Adult Stationery</v>
      </c>
      <c r="I324" s="3" t="str">
        <f ca="1">IFERROR(__xludf.DUMMYFUNCTION("GOOGLETRANSLATE(C324,""auto"",""en"")"),"Folder / File Bag")</f>
        <v>Folder / File Bag</v>
      </c>
    </row>
    <row r="325" spans="1:9" ht="13" x14ac:dyDescent="0.15">
      <c r="A325" s="2" t="s">
        <v>9</v>
      </c>
      <c r="B325" s="2" t="s">
        <v>330</v>
      </c>
      <c r="C325" s="2" t="s">
        <v>339</v>
      </c>
      <c r="D325" s="3">
        <v>2098759</v>
      </c>
      <c r="E325" s="3">
        <v>2270</v>
      </c>
      <c r="F325" s="3">
        <v>105</v>
      </c>
      <c r="G325" s="3" t="s">
        <v>12</v>
      </c>
      <c r="H325" s="3" t="str">
        <f ca="1">IFERROR(__xludf.DUMMYFUNCTION("GOOGLETRANSLATE(B325,""auto"",""en"")"),"Adult Stationery")</f>
        <v>Adult Stationery</v>
      </c>
      <c r="I325" s="3" t="str">
        <f ca="1">IFERROR(__xludf.DUMMYFUNCTION("GOOGLETRANSLATE(C325,""auto"",""en"")"),"Marker / Markers")</f>
        <v>Marker / Markers</v>
      </c>
    </row>
    <row r="326" spans="1:9" ht="13" x14ac:dyDescent="0.15">
      <c r="A326" s="2" t="s">
        <v>9</v>
      </c>
      <c r="B326" s="2" t="s">
        <v>330</v>
      </c>
      <c r="C326" s="2" t="s">
        <v>340</v>
      </c>
      <c r="D326" s="3">
        <v>2098759</v>
      </c>
      <c r="E326" s="3">
        <v>2270</v>
      </c>
      <c r="F326" s="3">
        <v>78</v>
      </c>
      <c r="G326" s="3" t="s">
        <v>12</v>
      </c>
      <c r="H326" s="3" t="str">
        <f ca="1">IFERROR(__xludf.DUMMYFUNCTION("GOOGLETRANSLATE(B326,""auto"",""en"")"),"Adult Stationery")</f>
        <v>Adult Stationery</v>
      </c>
      <c r="I326" s="3" t="str">
        <f ca="1">IFERROR(__xludf.DUMMYFUNCTION("GOOGLETRANSLATE(C326,""auto"",""en"")"),"Correction fluid / tape / paste")</f>
        <v>Correction fluid / tape / paste</v>
      </c>
    </row>
    <row r="327" spans="1:9" ht="13" x14ac:dyDescent="0.15">
      <c r="A327" s="2" t="s">
        <v>9</v>
      </c>
      <c r="B327" s="2" t="s">
        <v>330</v>
      </c>
      <c r="C327" s="2" t="s">
        <v>341</v>
      </c>
      <c r="D327" s="3">
        <v>2098759</v>
      </c>
      <c r="E327" s="3">
        <v>2270</v>
      </c>
      <c r="F327" s="3">
        <v>67</v>
      </c>
      <c r="G327" s="3" t="s">
        <v>12</v>
      </c>
      <c r="H327" s="3" t="str">
        <f ca="1">IFERROR(__xludf.DUMMYFUNCTION("GOOGLETRANSLATE(B327,""auto"",""en"")"),"Adult Stationery")</f>
        <v>Adult Stationery</v>
      </c>
      <c r="I327" s="3" t="str">
        <f ca="1">IFERROR(__xludf.DUMMYFUNCTION("GOOGLETRANSLATE(C327,""auto"",""en"")"),"Calculator")</f>
        <v>Calculator</v>
      </c>
    </row>
    <row r="328" spans="1:9" ht="13" x14ac:dyDescent="0.15">
      <c r="A328" s="2" t="s">
        <v>9</v>
      </c>
      <c r="B328" s="2" t="s">
        <v>330</v>
      </c>
      <c r="C328" s="2" t="s">
        <v>342</v>
      </c>
      <c r="D328" s="3">
        <v>2098759</v>
      </c>
      <c r="E328" s="3">
        <v>2270</v>
      </c>
      <c r="F328" s="3">
        <v>47</v>
      </c>
      <c r="G328" s="3" t="s">
        <v>12</v>
      </c>
      <c r="H328" s="3" t="str">
        <f ca="1">IFERROR(__xludf.DUMMYFUNCTION("GOOGLETRANSLATE(B328,""auto"",""en"")"),"Adult Stationery")</f>
        <v>Adult Stationery</v>
      </c>
      <c r="I328" s="3" t="str">
        <f ca="1">IFERROR(__xludf.DUMMYFUNCTION("GOOGLETRANSLATE(C328,""auto"",""en"")"),"printer paper")</f>
        <v>printer paper</v>
      </c>
    </row>
    <row r="329" spans="1:9" ht="13" x14ac:dyDescent="0.15">
      <c r="A329" s="2" t="s">
        <v>9</v>
      </c>
      <c r="B329" s="2" t="s">
        <v>330</v>
      </c>
      <c r="C329" s="2" t="s">
        <v>343</v>
      </c>
      <c r="D329" s="3">
        <v>2098759</v>
      </c>
      <c r="E329" s="3">
        <v>2270</v>
      </c>
      <c r="F329" s="3">
        <v>42</v>
      </c>
      <c r="G329" s="3" t="s">
        <v>12</v>
      </c>
      <c r="H329" s="3" t="str">
        <f ca="1">IFERROR(__xludf.DUMMYFUNCTION("GOOGLETRANSLATE(B329,""auto"",""en"")"),"Adult Stationery")</f>
        <v>Adult Stationery</v>
      </c>
      <c r="I329" s="3" t="str">
        <f ca="1">IFERROR(__xludf.DUMMYFUNCTION("GOOGLETRANSLATE(C329,""auto"",""en"")"),"Colored pencils")</f>
        <v>Colored pencils</v>
      </c>
    </row>
    <row r="330" spans="1:9" ht="13" x14ac:dyDescent="0.15">
      <c r="A330" s="2" t="s">
        <v>9</v>
      </c>
      <c r="B330" s="2" t="s">
        <v>330</v>
      </c>
      <c r="C330" s="2" t="s">
        <v>344</v>
      </c>
      <c r="D330" s="3">
        <v>2098759</v>
      </c>
      <c r="E330" s="3">
        <v>2270</v>
      </c>
      <c r="F330" s="3">
        <v>42</v>
      </c>
      <c r="G330" s="3" t="s">
        <v>12</v>
      </c>
      <c r="H330" s="3" t="str">
        <f ca="1">IFERROR(__xludf.DUMMYFUNCTION("GOOGLETRANSLATE(B330,""auto"",""en"")"),"Adult Stationery")</f>
        <v>Adult Stationery</v>
      </c>
      <c r="I330" s="3" t="str">
        <f ca="1">IFERROR(__xludf.DUMMYFUNCTION("GOOGLETRANSLATE(C330,""auto"",""en"")"),"Paper tape / strip")</f>
        <v>Paper tape / strip</v>
      </c>
    </row>
    <row r="331" spans="1:9" ht="13" x14ac:dyDescent="0.15">
      <c r="A331" s="2" t="s">
        <v>9</v>
      </c>
      <c r="B331" s="2" t="s">
        <v>330</v>
      </c>
      <c r="C331" s="2" t="s">
        <v>345</v>
      </c>
      <c r="D331" s="3">
        <v>2098759</v>
      </c>
      <c r="E331" s="3">
        <v>2270</v>
      </c>
      <c r="F331" s="3">
        <v>37</v>
      </c>
      <c r="G331" s="3" t="s">
        <v>12</v>
      </c>
      <c r="H331" s="3" t="str">
        <f ca="1">IFERROR(__xludf.DUMMYFUNCTION("GOOGLETRANSLATE(B331,""auto"",""en"")"),"Adult Stationery")</f>
        <v>Adult Stationery</v>
      </c>
      <c r="I331" s="3" t="str">
        <f ca="1">IFERROR(__xludf.DUMMYFUNCTION("GOOGLETRANSLATE(C331,""auto"",""en"")"),"ruler")</f>
        <v>ruler</v>
      </c>
    </row>
    <row r="332" spans="1:9" ht="13" x14ac:dyDescent="0.15">
      <c r="A332" s="2" t="s">
        <v>9</v>
      </c>
      <c r="B332" s="2" t="s">
        <v>330</v>
      </c>
      <c r="C332" s="2" t="s">
        <v>346</v>
      </c>
      <c r="D332" s="3">
        <v>2098759</v>
      </c>
      <c r="E332" s="3">
        <v>2270</v>
      </c>
      <c r="F332" s="3">
        <v>34</v>
      </c>
      <c r="G332" s="3" t="s">
        <v>12</v>
      </c>
      <c r="H332" s="3" t="str">
        <f ca="1">IFERROR(__xludf.DUMMYFUNCTION("GOOGLETRANSLATE(B332,""auto"",""en"")"),"Adult Stationery")</f>
        <v>Adult Stationery</v>
      </c>
      <c r="I332" s="3" t="str">
        <f ca="1">IFERROR(__xludf.DUMMYFUNCTION("GOOGLETRANSLATE(C332,""auto"",""en"")"),"Stapler / punch")</f>
        <v>Stapler / punch</v>
      </c>
    </row>
    <row r="333" spans="1:9" ht="13" x14ac:dyDescent="0.15">
      <c r="A333" s="2" t="s">
        <v>9</v>
      </c>
      <c r="B333" s="2" t="s">
        <v>330</v>
      </c>
      <c r="C333" s="2" t="s">
        <v>347</v>
      </c>
      <c r="D333" s="3">
        <v>2098759</v>
      </c>
      <c r="E333" s="3">
        <v>2270</v>
      </c>
      <c r="F333" s="3">
        <v>30</v>
      </c>
      <c r="G333" s="3" t="s">
        <v>12</v>
      </c>
      <c r="H333" s="3" t="str">
        <f ca="1">IFERROR(__xludf.DUMMYFUNCTION("GOOGLETRANSLATE(B333,""auto"",""en"")"),"Adult Stationery")</f>
        <v>Adult Stationery</v>
      </c>
      <c r="I333" s="3" t="str">
        <f ca="1">IFERROR(__xludf.DUMMYFUNCTION("GOOGLETRANSLATE(C333,""auto"",""en"")"),"magnifier")</f>
        <v>magnifier</v>
      </c>
    </row>
    <row r="334" spans="1:9" ht="13" x14ac:dyDescent="0.15">
      <c r="A334" s="2" t="s">
        <v>9</v>
      </c>
      <c r="B334" s="2" t="s">
        <v>330</v>
      </c>
      <c r="C334" s="2" t="s">
        <v>348</v>
      </c>
      <c r="D334" s="3">
        <v>2098759</v>
      </c>
      <c r="E334" s="3">
        <v>2270</v>
      </c>
      <c r="F334" s="3">
        <v>26</v>
      </c>
      <c r="G334" s="3" t="s">
        <v>12</v>
      </c>
      <c r="H334" s="3" t="str">
        <f ca="1">IFERROR(__xludf.DUMMYFUNCTION("GOOGLETRANSLATE(B334,""auto"",""en"")"),"Adult Stationery")</f>
        <v>Adult Stationery</v>
      </c>
      <c r="I334" s="3" t="str">
        <f ca="1">IFERROR(__xludf.DUMMYFUNCTION("GOOGLETRANSLATE(C334,""auto"",""en"")"),"pen")</f>
        <v>pen</v>
      </c>
    </row>
    <row r="335" spans="1:9" ht="13" x14ac:dyDescent="0.15">
      <c r="A335" s="2" t="s">
        <v>9</v>
      </c>
      <c r="B335" s="2" t="s">
        <v>330</v>
      </c>
      <c r="C335" s="2" t="s">
        <v>349</v>
      </c>
      <c r="D335" s="3">
        <v>2098759</v>
      </c>
      <c r="E335" s="3">
        <v>2270</v>
      </c>
      <c r="F335" s="3">
        <v>25</v>
      </c>
      <c r="G335" s="3" t="s">
        <v>12</v>
      </c>
      <c r="H335" s="3" t="str">
        <f ca="1">IFERROR(__xludf.DUMMYFUNCTION("GOOGLETRANSLATE(B335,""auto"",""en"")"),"Adult Stationery")</f>
        <v>Adult Stationery</v>
      </c>
      <c r="I335" s="3" t="str">
        <f ca="1">IFERROR(__xludf.DUMMYFUNCTION("GOOGLETRANSLATE(C335,""auto"",""en"")"),"Paper clip / pin / thumbtack")</f>
        <v>Paper clip / pin / thumbtack</v>
      </c>
    </row>
    <row r="336" spans="1:9" ht="13" x14ac:dyDescent="0.15">
      <c r="A336" s="2" t="s">
        <v>9</v>
      </c>
      <c r="B336" s="2" t="s">
        <v>330</v>
      </c>
      <c r="C336" s="2" t="s">
        <v>350</v>
      </c>
      <c r="D336" s="3">
        <v>2098759</v>
      </c>
      <c r="E336" s="3">
        <v>2270</v>
      </c>
      <c r="F336" s="3">
        <v>22</v>
      </c>
      <c r="G336" s="3" t="s">
        <v>12</v>
      </c>
      <c r="H336" s="3" t="str">
        <f ca="1">IFERROR(__xludf.DUMMYFUNCTION("GOOGLETRANSLATE(B336,""auto"",""en"")"),"Adult Stationery")</f>
        <v>Adult Stationery</v>
      </c>
      <c r="I336" s="3" t="str">
        <f ca="1">IFERROR(__xludf.DUMMYFUNCTION("GOOGLETRANSLATE(C336,""auto"",""en"")"),"Purse / binder clips")</f>
        <v>Purse / binder clips</v>
      </c>
    </row>
    <row r="337" spans="1:9" ht="13" x14ac:dyDescent="0.15">
      <c r="A337" s="2" t="s">
        <v>9</v>
      </c>
      <c r="B337" s="2" t="s">
        <v>330</v>
      </c>
      <c r="C337" s="2" t="s">
        <v>351</v>
      </c>
      <c r="D337" s="3">
        <v>2098759</v>
      </c>
      <c r="E337" s="3">
        <v>2270</v>
      </c>
      <c r="F337" s="3">
        <v>16</v>
      </c>
      <c r="G337" s="3" t="s">
        <v>12</v>
      </c>
      <c r="H337" s="3" t="str">
        <f ca="1">IFERROR(__xludf.DUMMYFUNCTION("GOOGLETRANSLATE(B337,""auto"",""en"")"),"Adult Stationery")</f>
        <v>Adult Stationery</v>
      </c>
      <c r="I337" s="3" t="str">
        <f ca="1">IFERROR(__xludf.DUMMYFUNCTION("GOOGLETRANSLATE(C337,""auto"",""en"")"),"Glue / glue")</f>
        <v>Glue / glue</v>
      </c>
    </row>
    <row r="338" spans="1:9" ht="13" x14ac:dyDescent="0.15">
      <c r="A338" s="2" t="s">
        <v>9</v>
      </c>
      <c r="B338" s="2" t="s">
        <v>330</v>
      </c>
      <c r="C338" s="2" t="s">
        <v>352</v>
      </c>
      <c r="D338" s="3">
        <v>2098759</v>
      </c>
      <c r="E338" s="3">
        <v>2270</v>
      </c>
      <c r="F338" s="3">
        <v>16</v>
      </c>
      <c r="G338" s="3" t="s">
        <v>12</v>
      </c>
      <c r="H338" s="3" t="str">
        <f ca="1">IFERROR(__xludf.DUMMYFUNCTION("GOOGLETRANSLATE(B338,""auto"",""en"")"),"Adult Stationery")</f>
        <v>Adult Stationery</v>
      </c>
      <c r="I338" s="3" t="str">
        <f ca="1">IFERROR(__xludf.DUMMYFUNCTION("GOOGLETRANSLATE(C338,""auto"",""en"")"),"Calligraphy Paper / Paper Lead")</f>
        <v>Calligraphy Paper / Paper Lead</v>
      </c>
    </row>
    <row r="339" spans="1:9" ht="13" x14ac:dyDescent="0.15">
      <c r="A339" s="2" t="s">
        <v>9</v>
      </c>
      <c r="B339" s="2" t="s">
        <v>330</v>
      </c>
      <c r="C339" s="2" t="s">
        <v>353</v>
      </c>
      <c r="D339" s="3">
        <v>2098759</v>
      </c>
      <c r="E339" s="3">
        <v>2270</v>
      </c>
      <c r="F339" s="3">
        <v>12</v>
      </c>
      <c r="G339" s="3" t="s">
        <v>12</v>
      </c>
      <c r="H339" s="3" t="str">
        <f ca="1">IFERROR(__xludf.DUMMYFUNCTION("GOOGLETRANSLATE(B339,""auto"",""en"")"),"Adult Stationery")</f>
        <v>Adult Stationery</v>
      </c>
      <c r="I339" s="3" t="str">
        <f ca="1">IFERROR(__xludf.DUMMYFUNCTION("GOOGLETRANSLATE(C339,""auto"",""en"")"),"scissors")</f>
        <v>scissors</v>
      </c>
    </row>
    <row r="340" spans="1:9" ht="13" x14ac:dyDescent="0.15">
      <c r="A340" s="2" t="s">
        <v>9</v>
      </c>
      <c r="B340" s="2" t="s">
        <v>330</v>
      </c>
      <c r="C340" s="2" t="s">
        <v>354</v>
      </c>
      <c r="D340" s="3">
        <v>2098759</v>
      </c>
      <c r="E340" s="3">
        <v>2270</v>
      </c>
      <c r="F340" s="3">
        <v>11</v>
      </c>
      <c r="G340" s="3" t="s">
        <v>12</v>
      </c>
      <c r="H340" s="3" t="str">
        <f ca="1">IFERROR(__xludf.DUMMYFUNCTION("GOOGLETRANSLATE(B340,""auto"",""en"")"),"Adult Stationery")</f>
        <v>Adult Stationery</v>
      </c>
      <c r="I340" s="3" t="str">
        <f ca="1">IFERROR(__xludf.DUMMYFUNCTION("GOOGLETRANSLATE(C340,""auto"",""en"")"),"Handmade paper")</f>
        <v>Handmade paper</v>
      </c>
    </row>
    <row r="341" spans="1:9" ht="13" x14ac:dyDescent="0.15">
      <c r="A341" s="2" t="s">
        <v>9</v>
      </c>
      <c r="B341" s="2" t="s">
        <v>330</v>
      </c>
      <c r="C341" s="2" t="s">
        <v>355</v>
      </c>
      <c r="D341" s="3">
        <v>2098759</v>
      </c>
      <c r="E341" s="3">
        <v>2270</v>
      </c>
      <c r="F341" s="3">
        <v>11</v>
      </c>
      <c r="G341" s="3" t="s">
        <v>12</v>
      </c>
      <c r="H341" s="3" t="str">
        <f ca="1">IFERROR(__xludf.DUMMYFUNCTION("GOOGLETRANSLATE(B341,""auto"",""en"")"),"Adult Stationery")</f>
        <v>Adult Stationery</v>
      </c>
      <c r="I341" s="3" t="str">
        <f ca="1">IFERROR(__xludf.DUMMYFUNCTION("GOOGLETRANSLATE(C341,""auto"",""en"")"),"Penholder / pen holder / pen holder")</f>
        <v>Penholder / pen holder / pen holder</v>
      </c>
    </row>
    <row r="342" spans="1:9" ht="13" x14ac:dyDescent="0.15">
      <c r="A342" s="2" t="s">
        <v>9</v>
      </c>
      <c r="B342" s="2" t="s">
        <v>330</v>
      </c>
      <c r="C342" s="2" t="s">
        <v>356</v>
      </c>
      <c r="D342" s="3">
        <v>2098759</v>
      </c>
      <c r="E342" s="3">
        <v>2270</v>
      </c>
      <c r="F342" s="3">
        <v>9</v>
      </c>
      <c r="G342" s="3" t="s">
        <v>12</v>
      </c>
      <c r="H342" s="3" t="str">
        <f ca="1">IFERROR(__xludf.DUMMYFUNCTION("GOOGLETRANSLATE(B342,""auto"",""en"")"),"Adult Stationery")</f>
        <v>Adult Stationery</v>
      </c>
      <c r="I342" s="3" t="str">
        <f ca="1">IFERROR(__xludf.DUMMYFUNCTION("GOOGLETRANSLATE(C342,""auto"",""en"")"),"mechanical pencil")</f>
        <v>mechanical pencil</v>
      </c>
    </row>
    <row r="343" spans="1:9" ht="13" x14ac:dyDescent="0.15">
      <c r="A343" s="2" t="s">
        <v>9</v>
      </c>
      <c r="B343" s="2" t="s">
        <v>330</v>
      </c>
      <c r="C343" s="2" t="s">
        <v>357</v>
      </c>
      <c r="D343" s="3">
        <v>2098759</v>
      </c>
      <c r="E343" s="3">
        <v>2270</v>
      </c>
      <c r="F343" s="3">
        <v>9</v>
      </c>
      <c r="G343" s="3" t="s">
        <v>12</v>
      </c>
      <c r="H343" s="3" t="str">
        <f ca="1">IFERROR(__xludf.DUMMYFUNCTION("GOOGLETRANSLATE(B343,""auto"",""en"")"),"Adult Stationery")</f>
        <v>Adult Stationery</v>
      </c>
      <c r="I343" s="3" t="str">
        <f ca="1">IFERROR(__xludf.DUMMYFUNCTION("GOOGLETRANSLATE(C343,""auto"",""en"")"),"Notes folder / photo folder")</f>
        <v>Notes folder / photo folder</v>
      </c>
    </row>
    <row r="344" spans="1:9" ht="13" x14ac:dyDescent="0.15">
      <c r="A344" s="2" t="s">
        <v>9</v>
      </c>
      <c r="B344" s="2" t="s">
        <v>330</v>
      </c>
      <c r="C344" s="2" t="s">
        <v>358</v>
      </c>
      <c r="D344" s="3">
        <v>2098759</v>
      </c>
      <c r="E344" s="3">
        <v>2270</v>
      </c>
      <c r="F344" s="3">
        <v>8</v>
      </c>
      <c r="G344" s="3" t="s">
        <v>12</v>
      </c>
      <c r="H344" s="3" t="str">
        <f ca="1">IFERROR(__xludf.DUMMYFUNCTION("GOOGLETRANSLATE(B344,""auto"",""en"")"),"Adult Stationery")</f>
        <v>Adult Stationery</v>
      </c>
      <c r="I344" s="3" t="str">
        <f ca="1">IFERROR(__xludf.DUMMYFUNCTION("GOOGLETRANSLATE(C344,""auto"",""en"")"),"Utility Knife")</f>
        <v>Utility Knife</v>
      </c>
    </row>
    <row r="345" spans="1:9" ht="13" x14ac:dyDescent="0.15">
      <c r="A345" s="2" t="s">
        <v>9</v>
      </c>
      <c r="B345" s="2" t="s">
        <v>330</v>
      </c>
      <c r="C345" s="2" t="s">
        <v>359</v>
      </c>
      <c r="D345" s="3">
        <v>2098759</v>
      </c>
      <c r="E345" s="3">
        <v>2270</v>
      </c>
      <c r="F345" s="3">
        <v>7</v>
      </c>
      <c r="G345" s="3" t="s">
        <v>12</v>
      </c>
      <c r="H345" s="3" t="str">
        <f ca="1">IFERROR(__xludf.DUMMYFUNCTION("GOOGLETRANSLATE(B345,""auto"",""en"")"),"Adult Stationery")</f>
        <v>Adult Stationery</v>
      </c>
      <c r="I345" s="3" t="str">
        <f ca="1">IFERROR(__xludf.DUMMYFUNCTION("GOOGLETRANSLATE(C345,""auto"",""en"")"),"Ink / Ink")</f>
        <v>Ink / Ink</v>
      </c>
    </row>
    <row r="346" spans="1:9" ht="13" x14ac:dyDescent="0.15">
      <c r="A346" s="2" t="s">
        <v>9</v>
      </c>
      <c r="B346" s="2" t="s">
        <v>330</v>
      </c>
      <c r="C346" s="2" t="s">
        <v>360</v>
      </c>
      <c r="D346" s="3">
        <v>2098759</v>
      </c>
      <c r="E346" s="3">
        <v>2270</v>
      </c>
      <c r="F346" s="3">
        <v>3</v>
      </c>
      <c r="G346" s="3" t="s">
        <v>12</v>
      </c>
      <c r="H346" s="3" t="str">
        <f ca="1">IFERROR(__xludf.DUMMYFUNCTION("GOOGLETRANSLATE(B346,""auto"",""en"")"),"Adult Stationery")</f>
        <v>Adult Stationery</v>
      </c>
      <c r="I346" s="3" t="str">
        <f ca="1">IFERROR(__xludf.DUMMYFUNCTION("GOOGLETRANSLATE(C346,""auto"",""en"")"),"Scratch paper")</f>
        <v>Scratch paper</v>
      </c>
    </row>
    <row r="347" spans="1:9" ht="13" x14ac:dyDescent="0.15">
      <c r="A347" s="2" t="s">
        <v>9</v>
      </c>
      <c r="B347" s="2" t="s">
        <v>330</v>
      </c>
      <c r="C347" s="2" t="s">
        <v>361</v>
      </c>
      <c r="D347" s="3">
        <v>2098759</v>
      </c>
      <c r="E347" s="3">
        <v>2270</v>
      </c>
      <c r="F347" s="3">
        <v>1</v>
      </c>
      <c r="G347" s="3" t="s">
        <v>12</v>
      </c>
      <c r="H347" s="3" t="str">
        <f ca="1">IFERROR(__xludf.DUMMYFUNCTION("GOOGLETRANSLATE(B347,""auto"",""en"")"),"Adult Stationery")</f>
        <v>Adult Stationery</v>
      </c>
      <c r="I347" s="3" t="str">
        <f ca="1">IFERROR(__xludf.DUMMYFUNCTION("GOOGLETRANSLATE(C347,""auto"",""en"")"),"Books / books")</f>
        <v>Books / books</v>
      </c>
    </row>
    <row r="348" spans="1:9" ht="13" x14ac:dyDescent="0.15">
      <c r="A348" s="2" t="s">
        <v>9</v>
      </c>
      <c r="B348" s="2" t="s">
        <v>330</v>
      </c>
      <c r="C348" s="2" t="s">
        <v>362</v>
      </c>
      <c r="D348" s="3">
        <v>2098759</v>
      </c>
      <c r="E348" s="3">
        <v>2270</v>
      </c>
      <c r="F348" s="3">
        <v>1</v>
      </c>
      <c r="G348" s="3" t="s">
        <v>12</v>
      </c>
      <c r="H348" s="3" t="str">
        <f ca="1">IFERROR(__xludf.DUMMYFUNCTION("GOOGLETRANSLATE(B348,""auto"",""en"")"),"Adult Stationery")</f>
        <v>Adult Stationery</v>
      </c>
      <c r="I348" s="3" t="str">
        <f ca="1">IFERROR(__xludf.DUMMYFUNCTION("GOOGLETRANSLATE(C348,""auto"",""en"")"),"Envelopes / postcards / greeting cards")</f>
        <v>Envelopes / postcards / greeting cards</v>
      </c>
    </row>
    <row r="349" spans="1:9" ht="13" x14ac:dyDescent="0.15">
      <c r="A349" s="2" t="s">
        <v>9</v>
      </c>
      <c r="B349" s="2" t="s">
        <v>330</v>
      </c>
      <c r="C349" s="2" t="s">
        <v>363</v>
      </c>
      <c r="D349" s="3">
        <v>2098759</v>
      </c>
      <c r="E349" s="3">
        <v>2270</v>
      </c>
      <c r="F349" s="3">
        <v>1</v>
      </c>
      <c r="G349" s="3" t="s">
        <v>12</v>
      </c>
      <c r="H349" s="3" t="str">
        <f ca="1">IFERROR(__xludf.DUMMYFUNCTION("GOOGLETRANSLATE(B349,""auto"",""en"")"),"Adult Stationery")</f>
        <v>Adult Stationery</v>
      </c>
      <c r="I349" s="3" t="str">
        <f ca="1">IFERROR(__xludf.DUMMYFUNCTION("GOOGLETRANSLATE(C349,""auto"",""en"")"),"Files basket / cabinet")</f>
        <v>Files basket / cabinet</v>
      </c>
    </row>
    <row r="350" spans="1:9" ht="13" x14ac:dyDescent="0.15">
      <c r="A350" s="2" t="s">
        <v>9</v>
      </c>
      <c r="B350" s="2" t="s">
        <v>330</v>
      </c>
      <c r="C350" s="2" t="s">
        <v>364</v>
      </c>
      <c r="D350" s="3">
        <v>2098759</v>
      </c>
      <c r="E350" s="3">
        <v>2270</v>
      </c>
      <c r="F350" s="3">
        <v>1</v>
      </c>
      <c r="G350" s="3" t="s">
        <v>12</v>
      </c>
      <c r="H350" s="3" t="str">
        <f ca="1">IFERROR(__xludf.DUMMYFUNCTION("GOOGLETRANSLATE(B350,""auto"",""en"")"),"Adult Stationery")</f>
        <v>Adult Stationery</v>
      </c>
      <c r="I350" s="3" t="str">
        <f ca="1">IFERROR(__xludf.DUMMYFUNCTION("GOOGLETRANSLATE(C350,""auto"",""en"")"),"Compasses")</f>
        <v>Compasses</v>
      </c>
    </row>
    <row r="351" spans="1:9" ht="13" x14ac:dyDescent="0.15">
      <c r="A351" s="2" t="s">
        <v>9</v>
      </c>
      <c r="B351" s="2" t="s">
        <v>365</v>
      </c>
      <c r="C351" s="2" t="s">
        <v>366</v>
      </c>
      <c r="D351" s="3">
        <v>2098759</v>
      </c>
      <c r="E351" s="3">
        <v>1310</v>
      </c>
      <c r="F351" s="3">
        <v>717</v>
      </c>
      <c r="G351" s="3" t="s">
        <v>12</v>
      </c>
      <c r="H351" s="3" t="str">
        <f ca="1">IFERROR(__xludf.DUMMYFUNCTION("GOOGLETRANSLATE(B351,""auto"",""en"")"),"Festive supplies / gifts")</f>
        <v>Festive supplies / gifts</v>
      </c>
      <c r="I351" s="3" t="str">
        <f ca="1">IFERROR(__xludf.DUMMYFUNCTION("GOOGLETRANSLATE(C351,""auto"",""en"")"),"Gallery")</f>
        <v>Gallery</v>
      </c>
    </row>
    <row r="352" spans="1:9" ht="13" x14ac:dyDescent="0.15">
      <c r="A352" s="2" t="s">
        <v>9</v>
      </c>
      <c r="B352" s="2" t="s">
        <v>365</v>
      </c>
      <c r="C352" s="2" t="s">
        <v>367</v>
      </c>
      <c r="D352" s="3">
        <v>2098759</v>
      </c>
      <c r="E352" s="3">
        <v>1310</v>
      </c>
      <c r="F352" s="3">
        <v>204</v>
      </c>
      <c r="G352" s="3" t="s">
        <v>12</v>
      </c>
      <c r="H352" s="3" t="str">
        <f ca="1">IFERROR(__xludf.DUMMYFUNCTION("GOOGLETRANSLATE(B352,""auto"",""en"")"),"Festive supplies / gifts")</f>
        <v>Festive supplies / gifts</v>
      </c>
      <c r="I352" s="3" t="str">
        <f ca="1">IFERROR(__xludf.DUMMYFUNCTION("GOOGLETRANSLATE(C352,""auto"",""en"")"),"Stickers")</f>
        <v>Stickers</v>
      </c>
    </row>
    <row r="353" spans="1:9" ht="13" x14ac:dyDescent="0.15">
      <c r="A353" s="2" t="s">
        <v>9</v>
      </c>
      <c r="B353" s="2" t="s">
        <v>365</v>
      </c>
      <c r="C353" s="3" t="s">
        <v>368</v>
      </c>
      <c r="D353" s="3">
        <v>2098759</v>
      </c>
      <c r="E353" s="3">
        <v>1310</v>
      </c>
      <c r="F353" s="3">
        <v>124</v>
      </c>
      <c r="G353" s="3" t="s">
        <v>12</v>
      </c>
      <c r="H353" s="3" t="str">
        <f ca="1">IFERROR(__xludf.DUMMYFUNCTION("GOOGLETRANSLATE(B353,""auto"",""en"")"),"Festive supplies / gifts")</f>
        <v>Festive supplies / gifts</v>
      </c>
      <c r="I353" s="3" t="str">
        <f ca="1">IFERROR(__xludf.DUMMYFUNCTION("GOOGLETRANSLATE(C353,""auto"",""en"")"),"DIY manual")</f>
        <v>DIY manual</v>
      </c>
    </row>
    <row r="354" spans="1:9" ht="13" x14ac:dyDescent="0.15">
      <c r="A354" s="2" t="s">
        <v>9</v>
      </c>
      <c r="B354" s="2" t="s">
        <v>365</v>
      </c>
      <c r="C354" s="2" t="s">
        <v>369</v>
      </c>
      <c r="D354" s="3">
        <v>2098759</v>
      </c>
      <c r="E354" s="3">
        <v>1310</v>
      </c>
      <c r="F354" s="3">
        <v>101</v>
      </c>
      <c r="G354" s="3" t="s">
        <v>12</v>
      </c>
      <c r="H354" s="3" t="str">
        <f ca="1">IFERROR(__xludf.DUMMYFUNCTION("GOOGLETRANSLATE(B354,""auto"",""en"")"),"Festive supplies / gifts")</f>
        <v>Festive supplies / gifts</v>
      </c>
      <c r="I354" s="3" t="str">
        <f ca="1">IFERROR(__xludf.DUMMYFUNCTION("GOOGLETRANSLATE(C354,""auto"",""en"")"),"Creative Gifts")</f>
        <v>Creative Gifts</v>
      </c>
    </row>
    <row r="355" spans="1:9" ht="13" x14ac:dyDescent="0.15">
      <c r="A355" s="2" t="s">
        <v>9</v>
      </c>
      <c r="B355" s="2" t="s">
        <v>365</v>
      </c>
      <c r="C355" s="2" t="s">
        <v>370</v>
      </c>
      <c r="D355" s="3">
        <v>2098759</v>
      </c>
      <c r="E355" s="3">
        <v>1310</v>
      </c>
      <c r="F355" s="3">
        <v>85</v>
      </c>
      <c r="G355" s="3" t="s">
        <v>12</v>
      </c>
      <c r="H355" s="3" t="str">
        <f ca="1">IFERROR(__xludf.DUMMYFUNCTION("GOOGLETRANSLATE(B355,""auto"",""en"")"),"Festive supplies / gifts")</f>
        <v>Festive supplies / gifts</v>
      </c>
      <c r="I355" s="3" t="str">
        <f ca="1">IFERROR(__xludf.DUMMYFUNCTION("GOOGLETRANSLATE(C355,""auto"",""en"")"),"Balloons / Balloon Accessories")</f>
        <v>Balloons / Balloon Accessories</v>
      </c>
    </row>
    <row r="356" spans="1:9" ht="13" x14ac:dyDescent="0.15">
      <c r="A356" s="2" t="s">
        <v>9</v>
      </c>
      <c r="B356" s="2" t="s">
        <v>365</v>
      </c>
      <c r="C356" s="2" t="s">
        <v>371</v>
      </c>
      <c r="D356" s="3">
        <v>2098759</v>
      </c>
      <c r="E356" s="3">
        <v>1310</v>
      </c>
      <c r="F356" s="3">
        <v>32</v>
      </c>
      <c r="G356" s="3" t="s">
        <v>12</v>
      </c>
      <c r="H356" s="3" t="str">
        <f ca="1">IFERROR(__xludf.DUMMYFUNCTION("GOOGLETRANSLATE(B356,""auto"",""en"")"),"Festive supplies / gifts")</f>
        <v>Festive supplies / gifts</v>
      </c>
      <c r="I356" s="3" t="str">
        <f ca="1">IFERROR(__xludf.DUMMYFUNCTION("GOOGLETRANSLATE(C356,""auto"",""en"")"),"Hi words / paper cutting / grilles")</f>
        <v>Hi words / paper cutting / grilles</v>
      </c>
    </row>
    <row r="357" spans="1:9" ht="13" x14ac:dyDescent="0.15">
      <c r="A357" s="2" t="s">
        <v>9</v>
      </c>
      <c r="B357" s="2" t="s">
        <v>365</v>
      </c>
      <c r="C357" s="2" t="s">
        <v>372</v>
      </c>
      <c r="D357" s="3">
        <v>2098759</v>
      </c>
      <c r="E357" s="3">
        <v>1310</v>
      </c>
      <c r="F357" s="3">
        <v>22</v>
      </c>
      <c r="G357" s="3" t="s">
        <v>12</v>
      </c>
      <c r="H357" s="3" t="str">
        <f ca="1">IFERROR(__xludf.DUMMYFUNCTION("GOOGLETRANSLATE(B357,""auto"",""en"")"),"Festive supplies / gifts")</f>
        <v>Festive supplies / gifts</v>
      </c>
      <c r="I357" s="3" t="str">
        <f ca="1">IFERROR(__xludf.DUMMYFUNCTION("GOOGLETRANSLATE(C357,""auto"",""en"")"),"Other festive supplies")</f>
        <v>Other festive supplies</v>
      </c>
    </row>
    <row r="358" spans="1:9" ht="13" x14ac:dyDescent="0.15">
      <c r="A358" s="2" t="s">
        <v>9</v>
      </c>
      <c r="B358" s="2" t="s">
        <v>365</v>
      </c>
      <c r="C358" s="2" t="s">
        <v>373</v>
      </c>
      <c r="D358" s="3">
        <v>2098759</v>
      </c>
      <c r="E358" s="3">
        <v>1310</v>
      </c>
      <c r="F358" s="3">
        <v>11</v>
      </c>
      <c r="G358" s="3" t="s">
        <v>12</v>
      </c>
      <c r="H358" s="3" t="str">
        <f ca="1">IFERROR(__xludf.DUMMYFUNCTION("GOOGLETRANSLATE(B358,""auto"",""en"")"),"Festive supplies / gifts")</f>
        <v>Festive supplies / gifts</v>
      </c>
      <c r="I358" s="3" t="str">
        <f ca="1">IFERROR(__xludf.DUMMYFUNCTION("GOOGLETRANSLATE(C358,""auto"",""en"")"),"Chinese knot")</f>
        <v>Chinese knot</v>
      </c>
    </row>
    <row r="359" spans="1:9" ht="13" x14ac:dyDescent="0.15">
      <c r="A359" s="2" t="s">
        <v>9</v>
      </c>
      <c r="B359" s="2" t="s">
        <v>365</v>
      </c>
      <c r="C359" s="2" t="s">
        <v>374</v>
      </c>
      <c r="D359" s="3">
        <v>2098759</v>
      </c>
      <c r="E359" s="3">
        <v>1310</v>
      </c>
      <c r="F359" s="3">
        <v>6</v>
      </c>
      <c r="G359" s="3" t="s">
        <v>12</v>
      </c>
      <c r="H359" s="3" t="str">
        <f ca="1">IFERROR(__xludf.DUMMYFUNCTION("GOOGLETRANSLATE(B359,""auto"",""en"")"),"Festive supplies / gifts")</f>
        <v>Festive supplies / gifts</v>
      </c>
      <c r="I359" s="3" t="str">
        <f ca="1">IFERROR(__xludf.DUMMYFUNCTION("GOOGLETRANSLATE(C359,""auto"",""en"")"),"Charm / Lunar New Year ornaments")</f>
        <v>Charm / Lunar New Year ornaments</v>
      </c>
    </row>
    <row r="360" spans="1:9" ht="13" x14ac:dyDescent="0.15">
      <c r="A360" s="2" t="s">
        <v>9</v>
      </c>
      <c r="B360" s="2" t="s">
        <v>365</v>
      </c>
      <c r="C360" s="2" t="s">
        <v>375</v>
      </c>
      <c r="D360" s="3">
        <v>2098759</v>
      </c>
      <c r="E360" s="3">
        <v>1310</v>
      </c>
      <c r="F360" s="3">
        <v>5</v>
      </c>
      <c r="G360" s="3" t="s">
        <v>12</v>
      </c>
      <c r="H360" s="3" t="str">
        <f ca="1">IFERROR(__xludf.DUMMYFUNCTION("GOOGLETRANSLATE(B360,""auto"",""en"")"),"Festive supplies / gifts")</f>
        <v>Festive supplies / gifts</v>
      </c>
      <c r="I360" s="3" t="str">
        <f ca="1">IFERROR(__xludf.DUMMYFUNCTION("GOOGLETRANSLATE(C360,""auto"",""en"")"),"Red envelope / red packets")</f>
        <v>Red envelope / red packets</v>
      </c>
    </row>
    <row r="361" spans="1:9" ht="13" x14ac:dyDescent="0.15">
      <c r="A361" s="2" t="s">
        <v>9</v>
      </c>
      <c r="B361" s="2" t="s">
        <v>365</v>
      </c>
      <c r="C361" s="2" t="s">
        <v>376</v>
      </c>
      <c r="D361" s="3">
        <v>2098759</v>
      </c>
      <c r="E361" s="3">
        <v>1310</v>
      </c>
      <c r="F361" s="3">
        <v>1</v>
      </c>
      <c r="G361" s="3" t="s">
        <v>12</v>
      </c>
      <c r="H361" s="3" t="str">
        <f ca="1">IFERROR(__xludf.DUMMYFUNCTION("GOOGLETRANSLATE(B361,""auto"",""en"")"),"Festive supplies / gifts")</f>
        <v>Festive supplies / gifts</v>
      </c>
      <c r="I361" s="3" t="str">
        <f ca="1">IFERROR(__xludf.DUMMYFUNCTION("GOOGLETRANSLATE(C361,""auto"",""en"")"),"candle")</f>
        <v>candle</v>
      </c>
    </row>
    <row r="362" spans="1:9" ht="13" x14ac:dyDescent="0.15">
      <c r="A362" s="2" t="s">
        <v>9</v>
      </c>
      <c r="B362" s="2" t="s">
        <v>365</v>
      </c>
      <c r="C362" s="2" t="s">
        <v>377</v>
      </c>
      <c r="D362" s="3">
        <v>2098759</v>
      </c>
      <c r="E362" s="3">
        <v>1310</v>
      </c>
      <c r="F362" s="3">
        <v>1</v>
      </c>
      <c r="G362" s="3" t="s">
        <v>12</v>
      </c>
      <c r="H362" s="3" t="str">
        <f ca="1">IFERROR(__xludf.DUMMYFUNCTION("GOOGLETRANSLATE(B362,""auto"",""en"")"),"Festive supplies / gifts")</f>
        <v>Festive supplies / gifts</v>
      </c>
      <c r="I362" s="3" t="str">
        <f ca="1">IFERROR(__xludf.DUMMYFUNCTION("GOOGLETRANSLATE(C362,""auto"",""en"")"),"couplet")</f>
        <v>couplet</v>
      </c>
    </row>
    <row r="363" spans="1:9" ht="13" x14ac:dyDescent="0.15">
      <c r="A363" s="2" t="s">
        <v>9</v>
      </c>
      <c r="B363" s="2" t="s">
        <v>365</v>
      </c>
      <c r="C363" s="2" t="s">
        <v>378</v>
      </c>
      <c r="D363" s="3">
        <v>2098759</v>
      </c>
      <c r="E363" s="3">
        <v>1310</v>
      </c>
      <c r="F363" s="3">
        <v>1</v>
      </c>
      <c r="G363" s="3" t="s">
        <v>12</v>
      </c>
      <c r="H363" s="3" t="str">
        <f ca="1">IFERROR(__xludf.DUMMYFUNCTION("GOOGLETRANSLATE(B363,""auto"",""en"")"),"Festive supplies / gifts")</f>
        <v>Festive supplies / gifts</v>
      </c>
      <c r="I363" s="3" t="str">
        <f ca="1">IFERROR(__xludf.DUMMYFUNCTION("GOOGLETRANSLATE(C363,""auto"",""en"")"),"Greeting Cards / Postcards")</f>
        <v>Greeting Cards / Postcards</v>
      </c>
    </row>
    <row r="364" spans="1:9" ht="13" x14ac:dyDescent="0.15">
      <c r="A364" s="2" t="s">
        <v>9</v>
      </c>
      <c r="B364" s="2" t="s">
        <v>379</v>
      </c>
      <c r="C364" s="2" t="s">
        <v>380</v>
      </c>
      <c r="D364" s="3">
        <v>2098759</v>
      </c>
      <c r="E364" s="3">
        <v>481</v>
      </c>
      <c r="F364" s="3">
        <v>481</v>
      </c>
      <c r="G364" s="3" t="s">
        <v>12</v>
      </c>
      <c r="H364" s="3" t="str">
        <f ca="1">IFERROR(__xludf.DUMMYFUNCTION("GOOGLETRANSLATE(B364,""auto"",""en"")"),"Household appliances")</f>
        <v>Household appliances</v>
      </c>
      <c r="I364" s="3" t="str">
        <f ca="1">IFERROR(__xludf.DUMMYFUNCTION("GOOGLETRANSLATE(C364,""auto"",""en"")"),"A nursing appliances / small appliances")</f>
        <v>A nursing appliances / small appliances</v>
      </c>
    </row>
    <row r="365" spans="1:9" ht="13" x14ac:dyDescent="0.15">
      <c r="A365" s="2" t="s">
        <v>9</v>
      </c>
      <c r="B365" s="2" t="s">
        <v>381</v>
      </c>
      <c r="C365" s="2" t="s">
        <v>382</v>
      </c>
      <c r="D365" s="3">
        <v>2098759</v>
      </c>
      <c r="E365" s="3">
        <v>3</v>
      </c>
      <c r="F365" s="3">
        <v>3</v>
      </c>
      <c r="G365" s="3" t="s">
        <v>12</v>
      </c>
      <c r="H365" s="3" t="str">
        <f ca="1">IFERROR(__xludf.DUMMYFUNCTION("GOOGLETRANSLATE(B365,""auto"",""en"")"),"bed linings")</f>
        <v>bed linings</v>
      </c>
      <c r="I365" s="3" t="str">
        <f ca="1">IFERROR(__xludf.DUMMYFUNCTION("GOOGLETRANSLATE(C365,""auto"",""en"")"),"Bedding Accessories")</f>
        <v>Bedding Accessories</v>
      </c>
    </row>
    <row r="366" spans="1:9" ht="13" x14ac:dyDescent="0.15">
      <c r="A366" s="2" t="s">
        <v>383</v>
      </c>
      <c r="B366" s="2" t="s">
        <v>384</v>
      </c>
      <c r="C366" s="2" t="s">
        <v>385</v>
      </c>
      <c r="D366" s="3">
        <v>1607987</v>
      </c>
      <c r="E366" s="3">
        <v>314907</v>
      </c>
      <c r="F366" s="3">
        <v>87801</v>
      </c>
      <c r="G366" s="3" t="s">
        <v>386</v>
      </c>
      <c r="H366" s="3" t="str">
        <f ca="1">IFERROR(__xludf.DUMMYFUNCTION("GOOGLETRANSLATE(B366,""auto"",""en"")"),"Early Learning / Smart Toy")</f>
        <v>Early Learning / Smart Toy</v>
      </c>
      <c r="I366" s="3" t="str">
        <f ca="1">IFERROR(__xludf.DUMMYFUNCTION("GOOGLETRANSLATE(C366,""auto"",""en"")"),"Early Learning books / flashcards")</f>
        <v>Early Learning books / flashcards</v>
      </c>
    </row>
    <row r="367" spans="1:9" ht="13" x14ac:dyDescent="0.15">
      <c r="A367" s="2" t="s">
        <v>383</v>
      </c>
      <c r="B367" s="2" t="s">
        <v>384</v>
      </c>
      <c r="C367" s="2" t="s">
        <v>387</v>
      </c>
      <c r="D367" s="3">
        <v>1607987</v>
      </c>
      <c r="E367" s="3">
        <v>314907</v>
      </c>
      <c r="F367" s="3">
        <v>47338</v>
      </c>
      <c r="G367" s="3" t="s">
        <v>386</v>
      </c>
      <c r="H367" s="3" t="str">
        <f ca="1">IFERROR(__xludf.DUMMYFUNCTION("GOOGLETRANSLATE(B367,""auto"",""en"")"),"Early Learning / Smart Toy")</f>
        <v>Early Learning / Smart Toy</v>
      </c>
      <c r="I367" s="3" t="str">
        <f ca="1">IFERROR(__xludf.DUMMYFUNCTION("GOOGLETRANSLATE(C367,""auto"",""en"")"),"Multifunctional toys table / game table")</f>
        <v>Multifunctional toys table / game table</v>
      </c>
    </row>
    <row r="368" spans="1:9" ht="13" x14ac:dyDescent="0.15">
      <c r="A368" s="2" t="s">
        <v>383</v>
      </c>
      <c r="B368" s="2" t="s">
        <v>384</v>
      </c>
      <c r="C368" s="2" t="s">
        <v>388</v>
      </c>
      <c r="D368" s="3">
        <v>1607987</v>
      </c>
      <c r="E368" s="3">
        <v>314907</v>
      </c>
      <c r="F368" s="3">
        <v>38204</v>
      </c>
      <c r="G368" s="3" t="s">
        <v>386</v>
      </c>
      <c r="H368" s="3" t="str">
        <f ca="1">IFERROR(__xludf.DUMMYFUNCTION("GOOGLETRANSLATE(B368,""auto"",""en"")"),"Early Learning / Smart Toy")</f>
        <v>Early Learning / Smart Toy</v>
      </c>
      <c r="I368" s="3" t="str">
        <f ca="1">IFERROR(__xludf.DUMMYFUNCTION("GOOGLETRANSLATE(C368,""auto"",""en"")"),"Story machine / machine early education / child mp3")</f>
        <v>Story machine / machine early education / child mp3</v>
      </c>
    </row>
    <row r="369" spans="1:9" ht="13" x14ac:dyDescent="0.15">
      <c r="A369" s="2" t="s">
        <v>383</v>
      </c>
      <c r="B369" s="2" t="s">
        <v>384</v>
      </c>
      <c r="C369" s="2" t="s">
        <v>389</v>
      </c>
      <c r="D369" s="3">
        <v>1607987</v>
      </c>
      <c r="E369" s="3">
        <v>314907</v>
      </c>
      <c r="F369" s="3">
        <v>33868</v>
      </c>
      <c r="G369" s="3" t="s">
        <v>386</v>
      </c>
      <c r="H369" s="3" t="str">
        <f ca="1">IFERROR(__xludf.DUMMYFUNCTION("GOOGLETRANSLATE(B369,""auto"",""en"")"),"Early Learning / Smart Toy")</f>
        <v>Early Learning / Smart Toy</v>
      </c>
      <c r="I369" s="3" t="str">
        <f ca="1">IFERROR(__xludf.DUMMYFUNCTION("GOOGLETRANSLATE(C369,""auto"",""en"")"),"Other educational toys")</f>
        <v>Other educational toys</v>
      </c>
    </row>
    <row r="370" spans="1:9" ht="13" x14ac:dyDescent="0.15">
      <c r="A370" s="2" t="s">
        <v>383</v>
      </c>
      <c r="B370" s="2" t="s">
        <v>384</v>
      </c>
      <c r="C370" s="2" t="s">
        <v>390</v>
      </c>
      <c r="D370" s="3">
        <v>1607987</v>
      </c>
      <c r="E370" s="3">
        <v>314907</v>
      </c>
      <c r="F370" s="3">
        <v>30754</v>
      </c>
      <c r="G370" s="3" t="s">
        <v>386</v>
      </c>
      <c r="H370" s="3" t="str">
        <f ca="1">IFERROR(__xludf.DUMMYFUNCTION("GOOGLETRANSLATE(B370,""auto"",""en"")"),"Early Learning / Smart Toy")</f>
        <v>Early Learning / Smart Toy</v>
      </c>
      <c r="I370" s="3" t="str">
        <f ca="1">IFERROR(__xludf.DUMMYFUNCTION("GOOGLETRANSLATE(C370,""auto"",""en"")"),"Cognitive flip chart / shape recognition")</f>
        <v>Cognitive flip chart / shape recognition</v>
      </c>
    </row>
    <row r="371" spans="1:9" ht="13" x14ac:dyDescent="0.15">
      <c r="A371" s="2" t="s">
        <v>383</v>
      </c>
      <c r="B371" s="2" t="s">
        <v>384</v>
      </c>
      <c r="C371" s="2" t="s">
        <v>391</v>
      </c>
      <c r="D371" s="3">
        <v>1607987</v>
      </c>
      <c r="E371" s="3">
        <v>314907</v>
      </c>
      <c r="F371" s="3">
        <v>16093</v>
      </c>
      <c r="G371" s="3" t="s">
        <v>386</v>
      </c>
      <c r="H371" s="3" t="str">
        <f ca="1">IFERROR(__xludf.DUMMYFUNCTION("GOOGLETRANSLATE(B371,""auto"",""en"")"),"Early Learning / Smart Toy")</f>
        <v>Early Learning / Smart Toy</v>
      </c>
      <c r="I371" s="3" t="str">
        <f ca="1">IFERROR(__xludf.DUMMYFUNCTION("GOOGLETRANSLATE(C371,""auto"",""en"")"),"Fishing / beat hamster / tap class")</f>
        <v>Fishing / beat hamster / tap class</v>
      </c>
    </row>
    <row r="372" spans="1:9" ht="13" x14ac:dyDescent="0.15">
      <c r="A372" s="2" t="s">
        <v>383</v>
      </c>
      <c r="B372" s="2" t="s">
        <v>384</v>
      </c>
      <c r="C372" s="2" t="s">
        <v>392</v>
      </c>
      <c r="D372" s="3">
        <v>1607987</v>
      </c>
      <c r="E372" s="3">
        <v>314907</v>
      </c>
      <c r="F372" s="3">
        <v>12577</v>
      </c>
      <c r="G372" s="3" t="s">
        <v>386</v>
      </c>
      <c r="H372" s="3" t="str">
        <f ca="1">IFERROR(__xludf.DUMMYFUNCTION("GOOGLETRANSLATE(B372,""auto"",""en"")"),"Early Learning / Smart Toy")</f>
        <v>Early Learning / Smart Toy</v>
      </c>
      <c r="I372" s="3" t="str">
        <f ca="1">IFERROR(__xludf.DUMMYFUNCTION("GOOGLETRANSLATE(C372,""auto"",""en"")"),"FISHING")</f>
        <v>FISHING</v>
      </c>
    </row>
    <row r="373" spans="1:9" ht="13" x14ac:dyDescent="0.15">
      <c r="A373" s="2" t="s">
        <v>383</v>
      </c>
      <c r="B373" s="2" t="s">
        <v>384</v>
      </c>
      <c r="C373" s="2" t="s">
        <v>393</v>
      </c>
      <c r="D373" s="3">
        <v>1607987</v>
      </c>
      <c r="E373" s="3">
        <v>314907</v>
      </c>
      <c r="F373" s="3">
        <v>12546</v>
      </c>
      <c r="G373" s="3" t="s">
        <v>386</v>
      </c>
      <c r="H373" s="3" t="str">
        <f ca="1">IFERROR(__xludf.DUMMYFUNCTION("GOOGLETRANSLATE(B373,""auto"",""en"")"),"Early Learning / Smart Toy")</f>
        <v>Early Learning / Smart Toy</v>
      </c>
      <c r="I373" s="3" t="str">
        <f ca="1">IFERROR(__xludf.DUMMYFUNCTION("GOOGLETRANSLATE(C373,""auto"",""en"")"),"Smart Watch / smartphone")</f>
        <v>Smart Watch / smartphone</v>
      </c>
    </row>
    <row r="374" spans="1:9" ht="13" x14ac:dyDescent="0.15">
      <c r="A374" s="2" t="s">
        <v>383</v>
      </c>
      <c r="B374" s="2" t="s">
        <v>384</v>
      </c>
      <c r="C374" s="2" t="s">
        <v>394</v>
      </c>
      <c r="D374" s="3">
        <v>1607987</v>
      </c>
      <c r="E374" s="3">
        <v>314907</v>
      </c>
      <c r="F374" s="3">
        <v>11232</v>
      </c>
      <c r="G374" s="3" t="s">
        <v>386</v>
      </c>
      <c r="H374" s="3" t="str">
        <f ca="1">IFERROR(__xludf.DUMMYFUNCTION("GOOGLETRANSLATE(B374,""auto"",""en"")"),"Early Learning / Smart Toy")</f>
        <v>Early Learning / Smart Toy</v>
      </c>
      <c r="I374" s="3" t="str">
        <f ca="1">IFERROR(__xludf.DUMMYFUNCTION("GOOGLETRANSLATE(C374,""auto"",""en"")"),"Beads / around beads / mushroom nailing")</f>
        <v>Beads / around beads / mushroom nailing</v>
      </c>
    </row>
    <row r="375" spans="1:9" ht="13" x14ac:dyDescent="0.15">
      <c r="A375" s="2" t="s">
        <v>383</v>
      </c>
      <c r="B375" s="2" t="s">
        <v>384</v>
      </c>
      <c r="C375" s="2" t="s">
        <v>395</v>
      </c>
      <c r="D375" s="3">
        <v>1607987</v>
      </c>
      <c r="E375" s="3">
        <v>314907</v>
      </c>
      <c r="F375" s="3">
        <v>7473</v>
      </c>
      <c r="G375" s="3" t="s">
        <v>386</v>
      </c>
      <c r="H375" s="3" t="str">
        <f ca="1">IFERROR(__xludf.DUMMYFUNCTION("GOOGLETRANSLATE(B375,""auto"",""en"")"),"Early Learning / Smart Toy")</f>
        <v>Early Learning / Smart Toy</v>
      </c>
      <c r="I375" s="3" t="str">
        <f ca="1">IFERROR(__xludf.DUMMYFUNCTION("GOOGLETRANSLATE(C375,""auto"",""en"")"),"Puzzle brain / game category sticker")</f>
        <v>Puzzle brain / game category sticker</v>
      </c>
    </row>
    <row r="376" spans="1:9" ht="13" x14ac:dyDescent="0.15">
      <c r="A376" s="2" t="s">
        <v>383</v>
      </c>
      <c r="B376" s="2" t="s">
        <v>384</v>
      </c>
      <c r="C376" s="2" t="s">
        <v>396</v>
      </c>
      <c r="D376" s="3">
        <v>1607987</v>
      </c>
      <c r="E376" s="3">
        <v>314907</v>
      </c>
      <c r="F376" s="3">
        <v>6547</v>
      </c>
      <c r="G376" s="3" t="s">
        <v>386</v>
      </c>
      <c r="H376" s="3" t="str">
        <f ca="1">IFERROR(__xludf.DUMMYFUNCTION("GOOGLETRANSLATE(B376,""auto"",""en"")"),"Early Learning / Smart Toy")</f>
        <v>Early Learning / Smart Toy</v>
      </c>
      <c r="I376" s="3" t="str">
        <f ca="1">IFERROR(__xludf.DUMMYFUNCTION("GOOGLETRANSLATE(C376,""auto"",""en"")"),"Jigsaw / puzzle")</f>
        <v>Jigsaw / puzzle</v>
      </c>
    </row>
    <row r="377" spans="1:9" ht="13" x14ac:dyDescent="0.15">
      <c r="A377" s="2" t="s">
        <v>383</v>
      </c>
      <c r="B377" s="2" t="s">
        <v>384</v>
      </c>
      <c r="C377" s="2" t="s">
        <v>397</v>
      </c>
      <c r="D377" s="3">
        <v>1607987</v>
      </c>
      <c r="E377" s="3">
        <v>314907</v>
      </c>
      <c r="F377" s="3">
        <v>4964</v>
      </c>
      <c r="G377" s="3" t="s">
        <v>386</v>
      </c>
      <c r="H377" s="3" t="str">
        <f ca="1">IFERROR(__xludf.DUMMYFUNCTION("GOOGLETRANSLATE(B377,""auto"",""en"")"),"Early Learning / Smart Toy")</f>
        <v>Early Learning / Smart Toy</v>
      </c>
      <c r="I377" s="3" t="str">
        <f ca="1">IFERROR(__xludf.DUMMYFUNCTION("GOOGLETRANSLATE(C377,""auto"",""en"")"),"Disassembly combination of class")</f>
        <v>Disassembly combination of class</v>
      </c>
    </row>
    <row r="378" spans="1:9" ht="13" x14ac:dyDescent="0.15">
      <c r="A378" s="2" t="s">
        <v>383</v>
      </c>
      <c r="B378" s="2" t="s">
        <v>384</v>
      </c>
      <c r="C378" s="2" t="s">
        <v>398</v>
      </c>
      <c r="D378" s="3">
        <v>1607987</v>
      </c>
      <c r="E378" s="3">
        <v>314907</v>
      </c>
      <c r="F378" s="3">
        <v>2111</v>
      </c>
      <c r="G378" s="3" t="s">
        <v>386</v>
      </c>
      <c r="H378" s="3" t="str">
        <f ca="1">IFERROR(__xludf.DUMMYFUNCTION("GOOGLETRANSLATE(B378,""auto"",""en"")"),"Early Learning / Smart Toy")</f>
        <v>Early Learning / Smart Toy</v>
      </c>
      <c r="I378" s="3" t="str">
        <f ca="1">IFERROR(__xludf.DUMMYFUNCTION("GOOGLETRANSLATE(C378,""auto"",""en"")"),"Yo-yo / domino")</f>
        <v>Yo-yo / domino</v>
      </c>
    </row>
    <row r="379" spans="1:9" ht="13" x14ac:dyDescent="0.15">
      <c r="A379" s="2" t="s">
        <v>383</v>
      </c>
      <c r="B379" s="2" t="s">
        <v>384</v>
      </c>
      <c r="C379" s="2" t="s">
        <v>399</v>
      </c>
      <c r="D379" s="3">
        <v>1607987</v>
      </c>
      <c r="E379" s="3">
        <v>314907</v>
      </c>
      <c r="F379" s="3">
        <v>1914</v>
      </c>
      <c r="G379" s="3" t="s">
        <v>386</v>
      </c>
      <c r="H379" s="3" t="str">
        <f ca="1">IFERROR(__xludf.DUMMYFUNCTION("GOOGLETRANSLATE(B379,""auto"",""en"")"),"Early Learning / Smart Toy")</f>
        <v>Early Learning / Smart Toy</v>
      </c>
      <c r="I379" s="3" t="str">
        <f ca="1">IFERROR(__xludf.DUMMYFUNCTION("GOOGLETRANSLATE(C379,""auto"",""en"")"),"Digital House / shape matching")</f>
        <v>Digital House / shape matching</v>
      </c>
    </row>
    <row r="380" spans="1:9" ht="13" x14ac:dyDescent="0.15">
      <c r="A380" s="2" t="s">
        <v>383</v>
      </c>
      <c r="B380" s="2" t="s">
        <v>384</v>
      </c>
      <c r="C380" s="2" t="s">
        <v>400</v>
      </c>
      <c r="D380" s="3">
        <v>1607987</v>
      </c>
      <c r="E380" s="3">
        <v>314907</v>
      </c>
      <c r="F380" s="3">
        <v>571</v>
      </c>
      <c r="G380" s="3" t="s">
        <v>386</v>
      </c>
      <c r="H380" s="3" t="str">
        <f ca="1">IFERROR(__xludf.DUMMYFUNCTION("GOOGLETRANSLATE(B380,""auto"",""en"")"),"Early Learning / Smart Toy")</f>
        <v>Early Learning / Smart Toy</v>
      </c>
      <c r="I380" s="3" t="str">
        <f ca="1">IFERROR(__xludf.DUMMYFUNCTION("GOOGLETRANSLATE(C380,""auto"",""en"")"),"Grasping the ball")</f>
        <v>Grasping the ball</v>
      </c>
    </row>
    <row r="381" spans="1:9" ht="13" x14ac:dyDescent="0.15">
      <c r="A381" s="2" t="s">
        <v>383</v>
      </c>
      <c r="B381" s="2" t="s">
        <v>384</v>
      </c>
      <c r="C381" s="2" t="s">
        <v>401</v>
      </c>
      <c r="D381" s="3">
        <v>1607987</v>
      </c>
      <c r="E381" s="3">
        <v>314907</v>
      </c>
      <c r="F381" s="3">
        <v>322</v>
      </c>
      <c r="G381" s="3" t="s">
        <v>386</v>
      </c>
      <c r="H381" s="3" t="str">
        <f ca="1">IFERROR(__xludf.DUMMYFUNCTION("GOOGLETRANSLATE(B381,""auto"",""en"")"),"Early Learning / Smart Toy")</f>
        <v>Early Learning / Smart Toy</v>
      </c>
      <c r="I381" s="3" t="str">
        <f ca="1">IFERROR(__xludf.DUMMYFUNCTION("GOOGLETRANSLATE(C381,""auto"",""en"")"),"Piles ring / nested Toys")</f>
        <v>Piles ring / nested Toys</v>
      </c>
    </row>
    <row r="382" spans="1:9" ht="13" x14ac:dyDescent="0.15">
      <c r="A382" s="2" t="s">
        <v>383</v>
      </c>
      <c r="B382" s="2" t="s">
        <v>384</v>
      </c>
      <c r="C382" s="2" t="s">
        <v>402</v>
      </c>
      <c r="D382" s="3">
        <v>1607987</v>
      </c>
      <c r="E382" s="3">
        <v>314907</v>
      </c>
      <c r="F382" s="3">
        <v>298</v>
      </c>
      <c r="G382" s="3" t="s">
        <v>386</v>
      </c>
      <c r="H382" s="3" t="str">
        <f ca="1">IFERROR(__xludf.DUMMYFUNCTION("GOOGLETRANSLATE(B382,""auto"",""en"")"),"Early Learning / Smart Toy")</f>
        <v>Early Learning / Smart Toy</v>
      </c>
      <c r="I382" s="3" t="str">
        <f ca="1">IFERROR(__xludf.DUMMYFUNCTION("GOOGLETRANSLATE(C382,""auto"",""en"")"),"Insert beads / mushroom nailing")</f>
        <v>Insert beads / mushroom nailing</v>
      </c>
    </row>
    <row r="383" spans="1:9" ht="13" x14ac:dyDescent="0.15">
      <c r="A383" s="2" t="s">
        <v>383</v>
      </c>
      <c r="B383" s="2" t="s">
        <v>384</v>
      </c>
      <c r="C383" s="2" t="s">
        <v>403</v>
      </c>
      <c r="D383" s="3">
        <v>1607987</v>
      </c>
      <c r="E383" s="3">
        <v>314907</v>
      </c>
      <c r="F383" s="3">
        <v>191</v>
      </c>
      <c r="G383" s="3" t="s">
        <v>386</v>
      </c>
      <c r="H383" s="3" t="str">
        <f ca="1">IFERROR(__xludf.DUMMYFUNCTION("GOOGLETRANSLATE(B383,""auto"",""en"")"),"Early Learning / Smart Toy")</f>
        <v>Early Learning / Smart Toy</v>
      </c>
      <c r="I383" s="3" t="str">
        <f ca="1">IFERROR(__xludf.DUMMYFUNCTION("GOOGLETRANSLATE(C383,""auto"",""en"")"),"Early Learning Flash Cards / potential development card")</f>
        <v>Early Learning Flash Cards / potential development card</v>
      </c>
    </row>
    <row r="384" spans="1:9" ht="13" x14ac:dyDescent="0.15">
      <c r="A384" s="2" t="s">
        <v>383</v>
      </c>
      <c r="B384" s="2" t="s">
        <v>384</v>
      </c>
      <c r="C384" s="2" t="s">
        <v>404</v>
      </c>
      <c r="D384" s="3">
        <v>1607987</v>
      </c>
      <c r="E384" s="3">
        <v>314907</v>
      </c>
      <c r="F384" s="3">
        <v>62</v>
      </c>
      <c r="G384" s="3" t="s">
        <v>386</v>
      </c>
      <c r="H384" s="3" t="str">
        <f ca="1">IFERROR(__xludf.DUMMYFUNCTION("GOOGLETRANSLATE(B384,""auto"",""en"")"),"Early Learning / Smart Toy")</f>
        <v>Early Learning / Smart Toy</v>
      </c>
      <c r="I384" s="3" t="str">
        <f ca="1">IFERROR(__xludf.DUMMYFUNCTION("GOOGLETRANSLATE(C384,""auto"",""en"")"),"Fight rats")</f>
        <v>Fight rats</v>
      </c>
    </row>
    <row r="385" spans="1:9" ht="13" x14ac:dyDescent="0.15">
      <c r="A385" s="2" t="s">
        <v>383</v>
      </c>
      <c r="B385" s="2" t="s">
        <v>384</v>
      </c>
      <c r="C385" s="2" t="s">
        <v>405</v>
      </c>
      <c r="D385" s="3">
        <v>1607987</v>
      </c>
      <c r="E385" s="3">
        <v>314907</v>
      </c>
      <c r="F385" s="3">
        <v>52</v>
      </c>
      <c r="G385" s="3" t="s">
        <v>386</v>
      </c>
      <c r="H385" s="3" t="str">
        <f ca="1">IFERROR(__xludf.DUMMYFUNCTION("GOOGLETRANSLATE(B385,""auto"",""en"")"),"Early Learning / Smart Toy")</f>
        <v>Early Learning / Smart Toy</v>
      </c>
      <c r="I385" s="3" t="str">
        <f ca="1">IFERROR(__xludf.DUMMYFUNCTION("GOOGLETRANSLATE(C385,""auto"",""en"")"),"Magnetic stickers")</f>
        <v>Magnetic stickers</v>
      </c>
    </row>
    <row r="386" spans="1:9" ht="13" x14ac:dyDescent="0.15">
      <c r="A386" s="2" t="s">
        <v>383</v>
      </c>
      <c r="B386" s="2" t="s">
        <v>384</v>
      </c>
      <c r="C386" s="2" t="s">
        <v>406</v>
      </c>
      <c r="D386" s="3">
        <v>1607987</v>
      </c>
      <c r="E386" s="3">
        <v>314907</v>
      </c>
      <c r="F386" s="3">
        <v>1</v>
      </c>
      <c r="G386" s="3" t="s">
        <v>386</v>
      </c>
      <c r="H386" s="3" t="str">
        <f ca="1">IFERROR(__xludf.DUMMYFUNCTION("GOOGLETRANSLATE(B386,""auto"",""en"")"),"Early Learning / Smart Toy")</f>
        <v>Early Learning / Smart Toy</v>
      </c>
      <c r="I386" s="3" t="str">
        <f ca="1">IFERROR(__xludf.DUMMYFUNCTION("GOOGLETRANSLATE(C386,""auto"",""en"")"),"Building block toys")</f>
        <v>Building block toys</v>
      </c>
    </row>
    <row r="387" spans="1:9" ht="13" x14ac:dyDescent="0.15">
      <c r="A387" s="2" t="s">
        <v>383</v>
      </c>
      <c r="B387" s="2" t="s">
        <v>407</v>
      </c>
      <c r="C387" s="2" t="s">
        <v>408</v>
      </c>
      <c r="D387" s="3">
        <v>1607987</v>
      </c>
      <c r="E387" s="3">
        <v>306569</v>
      </c>
      <c r="F387" s="3">
        <v>55587</v>
      </c>
      <c r="G387" s="3" t="s">
        <v>386</v>
      </c>
      <c r="H387" s="3" t="str">
        <f ca="1">IFERROR(__xludf.DUMMYFUNCTION("GOOGLETRANSLATE(B387,""auto"",""en"")"),"Books / newspapers / magazines")</f>
        <v>Books / newspapers / magazines</v>
      </c>
      <c r="I387" s="3" t="str">
        <f ca="1">IFERROR(__xludf.DUMMYFUNCTION("GOOGLETRANSLATE(C387,""auto"",""en"")"),"Animation / Cartoon")</f>
        <v>Animation / Cartoon</v>
      </c>
    </row>
    <row r="388" spans="1:9" ht="13" x14ac:dyDescent="0.15">
      <c r="A388" s="2" t="s">
        <v>383</v>
      </c>
      <c r="B388" s="2" t="s">
        <v>407</v>
      </c>
      <c r="C388" s="2" t="s">
        <v>409</v>
      </c>
      <c r="D388" s="3">
        <v>1607987</v>
      </c>
      <c r="E388" s="3">
        <v>306569</v>
      </c>
      <c r="F388" s="3">
        <v>46841</v>
      </c>
      <c r="G388" s="3" t="s">
        <v>386</v>
      </c>
      <c r="H388" s="3" t="str">
        <f ca="1">IFERROR(__xludf.DUMMYFUNCTION("GOOGLETRANSLATE(B388,""auto"",""en"")"),"Books / newspapers / magazines")</f>
        <v>Books / newspapers / magazines</v>
      </c>
      <c r="I388" s="3" t="str">
        <f ca="1">IFERROR(__xludf.DUMMYFUNCTION("GOOGLETRANSLATE(C388,""auto"",""en"")"),"Elementary education")</f>
        <v>Elementary education</v>
      </c>
    </row>
    <row r="389" spans="1:9" ht="13" x14ac:dyDescent="0.15">
      <c r="A389" s="2" t="s">
        <v>383</v>
      </c>
      <c r="B389" s="2" t="s">
        <v>407</v>
      </c>
      <c r="C389" s="2" t="s">
        <v>410</v>
      </c>
      <c r="D389" s="3">
        <v>1607987</v>
      </c>
      <c r="E389" s="3">
        <v>306569</v>
      </c>
      <c r="F389" s="3">
        <v>43797</v>
      </c>
      <c r="G389" s="3" t="s">
        <v>386</v>
      </c>
      <c r="H389" s="3" t="str">
        <f ca="1">IFERROR(__xludf.DUMMYFUNCTION("GOOGLETRANSLATE(B389,""auto"",""en"")"),"Books / newspapers / magazines")</f>
        <v>Books / newspapers / magazines</v>
      </c>
      <c r="I389" s="3" t="str">
        <f ca="1">IFERROR(__xludf.DUMMYFUNCTION("GOOGLETRANSLATE(C389,""auto"",""en"")"),"Chinese children's literature / classics")</f>
        <v>Chinese children's literature / classics</v>
      </c>
    </row>
    <row r="390" spans="1:9" ht="13" x14ac:dyDescent="0.15">
      <c r="A390" s="2" t="s">
        <v>383</v>
      </c>
      <c r="B390" s="2" t="s">
        <v>407</v>
      </c>
      <c r="C390" s="2" t="s">
        <v>411</v>
      </c>
      <c r="D390" s="3">
        <v>1607987</v>
      </c>
      <c r="E390" s="3">
        <v>306569</v>
      </c>
      <c r="F390" s="3">
        <v>43253</v>
      </c>
      <c r="G390" s="3" t="s">
        <v>386</v>
      </c>
      <c r="H390" s="3" t="str">
        <f ca="1">IFERROR(__xludf.DUMMYFUNCTION("GOOGLETRANSLATE(B390,""auto"",""en"")"),"Books / newspapers / magazines")</f>
        <v>Books / newspapers / magazines</v>
      </c>
      <c r="I390" s="3" t="str">
        <f ca="1">IFERROR(__xludf.DUMMYFUNCTION("GOOGLETRANSLATE(C390,""auto"",""en"")"),"Chinese picture books")</f>
        <v>Chinese picture books</v>
      </c>
    </row>
    <row r="391" spans="1:9" ht="13" x14ac:dyDescent="0.15">
      <c r="A391" s="2" t="s">
        <v>383</v>
      </c>
      <c r="B391" s="2" t="s">
        <v>407</v>
      </c>
      <c r="C391" s="2" t="s">
        <v>412</v>
      </c>
      <c r="D391" s="3">
        <v>1607987</v>
      </c>
      <c r="E391" s="3">
        <v>306569</v>
      </c>
      <c r="F391" s="3">
        <v>24185</v>
      </c>
      <c r="G391" s="3" t="s">
        <v>386</v>
      </c>
      <c r="H391" s="3" t="str">
        <f ca="1">IFERROR(__xludf.DUMMYFUNCTION("GOOGLETRANSLATE(B391,""auto"",""en"")"),"Books / newspapers / magazines")</f>
        <v>Books / newspapers / magazines</v>
      </c>
      <c r="I391" s="3" t="str">
        <f ca="1">IFERROR(__xludf.DUMMYFUNCTION("GOOGLETRANSLATE(C391,""auto"",""en"")"),"Science / encyclopedia")</f>
        <v>Science / encyclopedia</v>
      </c>
    </row>
    <row r="392" spans="1:9" ht="13" x14ac:dyDescent="0.15">
      <c r="A392" s="2" t="s">
        <v>383</v>
      </c>
      <c r="B392" s="2" t="s">
        <v>407</v>
      </c>
      <c r="C392" s="2" t="s">
        <v>413</v>
      </c>
      <c r="D392" s="3">
        <v>1607987</v>
      </c>
      <c r="E392" s="3">
        <v>306569</v>
      </c>
      <c r="F392" s="3">
        <v>18562</v>
      </c>
      <c r="G392" s="3" t="s">
        <v>386</v>
      </c>
      <c r="H392" s="3" t="str">
        <f ca="1">IFERROR(__xludf.DUMMYFUNCTION("GOOGLETRANSLATE(B392,""auto"",""en"")"),"Books / newspapers / magazines")</f>
        <v>Books / newspapers / magazines</v>
      </c>
      <c r="I392" s="3" t="str">
        <f ca="1">IFERROR(__xludf.DUMMYFUNCTION("GOOGLETRANSLATE(C392,""auto"",""en"")"),"Exam / materials / supplementary")</f>
        <v>Exam / materials / supplementary</v>
      </c>
    </row>
    <row r="393" spans="1:9" ht="13" x14ac:dyDescent="0.15">
      <c r="A393" s="2" t="s">
        <v>383</v>
      </c>
      <c r="B393" s="2" t="s">
        <v>407</v>
      </c>
      <c r="C393" s="2" t="s">
        <v>414</v>
      </c>
      <c r="D393" s="3">
        <v>1607987</v>
      </c>
      <c r="E393" s="3">
        <v>306569</v>
      </c>
      <c r="F393" s="3">
        <v>18285</v>
      </c>
      <c r="G393" s="3" t="s">
        <v>386</v>
      </c>
      <c r="H393" s="3" t="str">
        <f ca="1">IFERROR(__xludf.DUMMYFUNCTION("GOOGLETRANSLATE(B393,""auto"",""en"")"),"Books / newspapers / magazines")</f>
        <v>Books / newspapers / magazines</v>
      </c>
      <c r="I393" s="3" t="str">
        <f ca="1">IFERROR(__xludf.DUMMYFUNCTION("GOOGLETRANSLATE(C393,""auto"",""en"")"),"Handmade toys books")</f>
        <v>Handmade toys books</v>
      </c>
    </row>
    <row r="394" spans="1:9" ht="13" x14ac:dyDescent="0.15">
      <c r="A394" s="2" t="s">
        <v>383</v>
      </c>
      <c r="B394" s="2" t="s">
        <v>407</v>
      </c>
      <c r="C394" s="2" t="s">
        <v>415</v>
      </c>
      <c r="D394" s="3">
        <v>1607987</v>
      </c>
      <c r="E394" s="3">
        <v>306569</v>
      </c>
      <c r="F394" s="3">
        <v>15117</v>
      </c>
      <c r="G394" s="3" t="s">
        <v>386</v>
      </c>
      <c r="H394" s="3" t="str">
        <f ca="1">IFERROR(__xludf.DUMMYFUNCTION("GOOGLETRANSLATE(B394,""auto"",""en"")"),"Books / newspapers / magazines")</f>
        <v>Books / newspapers / magazines</v>
      </c>
      <c r="I394" s="3" t="str">
        <f ca="1">IFERROR(__xludf.DUMMYFUNCTION("GOOGLETRANSLATE(C394,""auto"",""en"")"),"Foreign children's literature / classics")</f>
        <v>Foreign children's literature / classics</v>
      </c>
    </row>
    <row r="395" spans="1:9" ht="13" x14ac:dyDescent="0.15">
      <c r="A395" s="2" t="s">
        <v>383</v>
      </c>
      <c r="B395" s="2" t="s">
        <v>407</v>
      </c>
      <c r="C395" s="2" t="s">
        <v>416</v>
      </c>
      <c r="D395" s="3">
        <v>1607987</v>
      </c>
      <c r="E395" s="3">
        <v>306569</v>
      </c>
      <c r="F395" s="3">
        <v>12845</v>
      </c>
      <c r="G395" s="3" t="s">
        <v>386</v>
      </c>
      <c r="H395" s="3" t="str">
        <f ca="1">IFERROR(__xludf.DUMMYFUNCTION("GOOGLETRANSLATE(B395,""auto"",""en"")"),"Books / newspapers / magazines")</f>
        <v>Books / newspapers / magazines</v>
      </c>
      <c r="I395" s="3" t="str">
        <f ca="1">IFERROR(__xludf.DUMMYFUNCTION("GOOGLETRANSLATE(C395,""auto"",""en"")"),"Painting book")</f>
        <v>Painting book</v>
      </c>
    </row>
    <row r="396" spans="1:9" ht="13" x14ac:dyDescent="0.15">
      <c r="A396" s="2" t="s">
        <v>383</v>
      </c>
      <c r="B396" s="2" t="s">
        <v>407</v>
      </c>
      <c r="C396" s="2" t="s">
        <v>417</v>
      </c>
      <c r="D396" s="3">
        <v>1607987</v>
      </c>
      <c r="E396" s="3">
        <v>306569</v>
      </c>
      <c r="F396" s="3">
        <v>11377</v>
      </c>
      <c r="G396" s="3" t="s">
        <v>386</v>
      </c>
      <c r="H396" s="3" t="str">
        <f ca="1">IFERROR(__xludf.DUMMYFUNCTION("GOOGLETRANSLATE(B396,""auto"",""en"")"),"Books / newspapers / magazines")</f>
        <v>Books / newspapers / magazines</v>
      </c>
      <c r="I396" s="3" t="str">
        <f ca="1">IFERROR(__xludf.DUMMYFUNCTION("GOOGLETRANSLATE(C396,""auto"",""en"")"),"reference book")</f>
        <v>reference book</v>
      </c>
    </row>
    <row r="397" spans="1:9" ht="13" x14ac:dyDescent="0.15">
      <c r="A397" s="2" t="s">
        <v>383</v>
      </c>
      <c r="B397" s="2" t="s">
        <v>407</v>
      </c>
      <c r="C397" s="2" t="s">
        <v>92</v>
      </c>
      <c r="D397" s="3">
        <v>1607987</v>
      </c>
      <c r="E397" s="3">
        <v>306569</v>
      </c>
      <c r="F397" s="3">
        <v>10855</v>
      </c>
      <c r="G397" s="3" t="s">
        <v>386</v>
      </c>
      <c r="H397" s="3" t="str">
        <f ca="1">IFERROR(__xludf.DUMMYFUNCTION("GOOGLETRANSLATE(B397,""auto"",""en"")"),"Books / newspapers / magazines")</f>
        <v>Books / newspapers / magazines</v>
      </c>
      <c r="I397" s="3" t="str">
        <f ca="1">IFERROR(__xludf.DUMMYFUNCTION("GOOGLETRANSLATE(C397,""auto"",""en"")"),"other")</f>
        <v>other</v>
      </c>
    </row>
    <row r="398" spans="1:9" ht="13" x14ac:dyDescent="0.15">
      <c r="A398" s="2" t="s">
        <v>383</v>
      </c>
      <c r="B398" s="2" t="s">
        <v>407</v>
      </c>
      <c r="C398" s="2" t="s">
        <v>418</v>
      </c>
      <c r="D398" s="3">
        <v>1607987</v>
      </c>
      <c r="E398" s="3">
        <v>306569</v>
      </c>
      <c r="F398" s="3">
        <v>5796</v>
      </c>
      <c r="G398" s="3" t="s">
        <v>386</v>
      </c>
      <c r="H398" s="3" t="str">
        <f ca="1">IFERROR(__xludf.DUMMYFUNCTION("GOOGLETRANSLATE(B398,""auto"",""en"")"),"Books / newspapers / magazines")</f>
        <v>Books / newspapers / magazines</v>
      </c>
      <c r="I398" s="3" t="str">
        <f ca="1">IFERROR(__xludf.DUMMYFUNCTION("GOOGLETRANSLATE(C398,""auto"",""en"")"),"Motherhood Parenting")</f>
        <v>Motherhood Parenting</v>
      </c>
    </row>
    <row r="399" spans="1:9" ht="13" x14ac:dyDescent="0.15">
      <c r="A399" s="2" t="s">
        <v>383</v>
      </c>
      <c r="B399" s="2" t="s">
        <v>407</v>
      </c>
      <c r="C399" s="2" t="s">
        <v>419</v>
      </c>
      <c r="D399" s="3">
        <v>1607987</v>
      </c>
      <c r="E399" s="3">
        <v>306569</v>
      </c>
      <c r="F399" s="3">
        <v>46</v>
      </c>
      <c r="G399" s="3" t="s">
        <v>386</v>
      </c>
      <c r="H399" s="3" t="str">
        <f ca="1">IFERROR(__xludf.DUMMYFUNCTION("GOOGLETRANSLATE(B399,""auto"",""en"")"),"Books / newspapers / magazines")</f>
        <v>Books / newspapers / magazines</v>
      </c>
      <c r="I399" s="3" t="str">
        <f ca="1">IFERROR(__xludf.DUMMYFUNCTION("GOOGLETRANSLATE(C399,""auto"",""en"")"),"magazine")</f>
        <v>magazine</v>
      </c>
    </row>
    <row r="400" spans="1:9" ht="13" x14ac:dyDescent="0.15">
      <c r="A400" s="2" t="s">
        <v>383</v>
      </c>
      <c r="B400" s="2" t="s">
        <v>407</v>
      </c>
      <c r="C400" s="3" t="s">
        <v>420</v>
      </c>
      <c r="D400" s="3">
        <v>1607987</v>
      </c>
      <c r="E400" s="3">
        <v>306569</v>
      </c>
      <c r="F400" s="3">
        <v>31</v>
      </c>
      <c r="G400" s="3" t="s">
        <v>386</v>
      </c>
      <c r="H400" s="3" t="str">
        <f ca="1">IFERROR(__xludf.DUMMYFUNCTION("GOOGLETRANSLATE(B400,""auto"",""en"")"),"Books / newspapers / magazines")</f>
        <v>Books / newspapers / magazines</v>
      </c>
      <c r="I400" s="3" t="str">
        <f ca="1">IFERROR(__xludf.DUMMYFUNCTION("GOOGLETRANSLATE(C400,""auto"",""en"")"),"ar Tu Tu Le")</f>
        <v>ar Tu Tu Le</v>
      </c>
    </row>
    <row r="401" spans="1:9" ht="13" x14ac:dyDescent="0.15">
      <c r="A401" s="2" t="s">
        <v>383</v>
      </c>
      <c r="B401" s="2" t="s">
        <v>421</v>
      </c>
      <c r="C401" s="2" t="s">
        <v>422</v>
      </c>
      <c r="D401" s="3">
        <v>1607987</v>
      </c>
      <c r="E401" s="3">
        <v>219005</v>
      </c>
      <c r="F401" s="3">
        <v>89184</v>
      </c>
      <c r="G401" s="3" t="s">
        <v>386</v>
      </c>
      <c r="H401" s="3" t="str">
        <f ca="1">IFERROR(__xludf.DUMMYFUNCTION("GOOGLETRANSLATE(B401,""auto"",""en"")"),"Blocks / fight inserted")</f>
        <v>Blocks / fight inserted</v>
      </c>
      <c r="I401" s="3" t="str">
        <f ca="1">IFERROR(__xludf.DUMMYFUNCTION("GOOGLETRANSLATE(C401,""auto"",""en"")"),"Fight inserted blocks")</f>
        <v>Fight inserted blocks</v>
      </c>
    </row>
    <row r="402" spans="1:9" ht="13" x14ac:dyDescent="0.15">
      <c r="A402" s="2" t="s">
        <v>383</v>
      </c>
      <c r="B402" s="2" t="s">
        <v>421</v>
      </c>
      <c r="C402" s="2" t="s">
        <v>406</v>
      </c>
      <c r="D402" s="3">
        <v>1607987</v>
      </c>
      <c r="E402" s="3">
        <v>219005</v>
      </c>
      <c r="F402" s="3">
        <v>62867</v>
      </c>
      <c r="G402" s="3" t="s">
        <v>386</v>
      </c>
      <c r="H402" s="3" t="str">
        <f ca="1">IFERROR(__xludf.DUMMYFUNCTION("GOOGLETRANSLATE(B402,""auto"",""en"")"),"Blocks / fight inserted")</f>
        <v>Blocks / fight inserted</v>
      </c>
      <c r="I402" s="3" t="str">
        <f ca="1">IFERROR(__xludf.DUMMYFUNCTION("GOOGLETRANSLATE(C402,""auto"",""en"")"),"Building block toys")</f>
        <v>Building block toys</v>
      </c>
    </row>
    <row r="403" spans="1:9" ht="13" x14ac:dyDescent="0.15">
      <c r="A403" s="2" t="s">
        <v>383</v>
      </c>
      <c r="B403" s="2" t="s">
        <v>421</v>
      </c>
      <c r="C403" s="2" t="s">
        <v>423</v>
      </c>
      <c r="D403" s="3">
        <v>1607987</v>
      </c>
      <c r="E403" s="3">
        <v>219005</v>
      </c>
      <c r="F403" s="3">
        <v>35925</v>
      </c>
      <c r="G403" s="3" t="s">
        <v>386</v>
      </c>
      <c r="H403" s="3" t="str">
        <f ca="1">IFERROR(__xludf.DUMMYFUNCTION("GOOGLETRANSLATE(B403,""auto"",""en"")"),"Blocks / fight inserted")</f>
        <v>Blocks / fight inserted</v>
      </c>
      <c r="I403" s="3" t="str">
        <f ca="1">IFERROR(__xludf.DUMMYFUNCTION("GOOGLETRANSLATE(C403,""auto"",""en"")"),"Snowflake")</f>
        <v>Snowflake</v>
      </c>
    </row>
    <row r="404" spans="1:9" ht="13" x14ac:dyDescent="0.15">
      <c r="A404" s="2" t="s">
        <v>383</v>
      </c>
      <c r="B404" s="2" t="s">
        <v>421</v>
      </c>
      <c r="C404" s="2" t="s">
        <v>424</v>
      </c>
      <c r="D404" s="3">
        <v>1607987</v>
      </c>
      <c r="E404" s="3">
        <v>219005</v>
      </c>
      <c r="F404" s="3">
        <v>28953</v>
      </c>
      <c r="G404" s="3" t="s">
        <v>386</v>
      </c>
      <c r="H404" s="3" t="str">
        <f ca="1">IFERROR(__xludf.DUMMYFUNCTION("GOOGLETRANSLATE(B404,""auto"",""en"")"),"Blocks / fight inserted")</f>
        <v>Blocks / fight inserted</v>
      </c>
      <c r="I404" s="3" t="str">
        <f ca="1">IFERROR(__xludf.DUMMYFUNCTION("GOOGLETRANSLATE(C404,""auto"",""en"")"),"Plastic / glial spell plug blocks")</f>
        <v>Plastic / glial spell plug blocks</v>
      </c>
    </row>
    <row r="405" spans="1:9" ht="13" x14ac:dyDescent="0.15">
      <c r="A405" s="2" t="s">
        <v>383</v>
      </c>
      <c r="B405" s="2" t="s">
        <v>421</v>
      </c>
      <c r="C405" s="2" t="s">
        <v>425</v>
      </c>
      <c r="D405" s="3">
        <v>1607987</v>
      </c>
      <c r="E405" s="3">
        <v>219005</v>
      </c>
      <c r="F405" s="3">
        <v>1321</v>
      </c>
      <c r="G405" s="3" t="s">
        <v>386</v>
      </c>
      <c r="H405" s="3" t="str">
        <f ca="1">IFERROR(__xludf.DUMMYFUNCTION("GOOGLETRANSLATE(B405,""auto"",""en"")"),"Blocks / fight inserted")</f>
        <v>Blocks / fight inserted</v>
      </c>
      <c r="I405" s="3" t="str">
        <f ca="1">IFERROR(__xludf.DUMMYFUNCTION("GOOGLETRANSLATE(C405,""auto"",""en"")"),"Fight building blocks")</f>
        <v>Fight building blocks</v>
      </c>
    </row>
    <row r="406" spans="1:9" ht="13" x14ac:dyDescent="0.15">
      <c r="A406" s="2" t="s">
        <v>383</v>
      </c>
      <c r="B406" s="2" t="s">
        <v>421</v>
      </c>
      <c r="C406" s="2" t="s">
        <v>426</v>
      </c>
      <c r="D406" s="3">
        <v>1607987</v>
      </c>
      <c r="E406" s="3">
        <v>219005</v>
      </c>
      <c r="F406" s="3">
        <v>234</v>
      </c>
      <c r="G406" s="3" t="s">
        <v>386</v>
      </c>
      <c r="H406" s="3" t="str">
        <f ca="1">IFERROR(__xludf.DUMMYFUNCTION("GOOGLETRANSLATE(B406,""auto"",""en"")"),"Blocks / fight inserted")</f>
        <v>Blocks / fight inserted</v>
      </c>
      <c r="I406" s="3" t="str">
        <f ca="1">IFERROR(__xludf.DUMMYFUNCTION("GOOGLETRANSLATE(C406,""auto"",""en"")"),"Dominoes")</f>
        <v>Dominoes</v>
      </c>
    </row>
    <row r="407" spans="1:9" ht="13" x14ac:dyDescent="0.15">
      <c r="A407" s="2" t="s">
        <v>383</v>
      </c>
      <c r="B407" s="2" t="s">
        <v>421</v>
      </c>
      <c r="C407" s="2" t="s">
        <v>397</v>
      </c>
      <c r="D407" s="3">
        <v>1607987</v>
      </c>
      <c r="E407" s="3">
        <v>219005</v>
      </c>
      <c r="F407" s="3">
        <v>168</v>
      </c>
      <c r="G407" s="3" t="s">
        <v>386</v>
      </c>
      <c r="H407" s="3" t="str">
        <f ca="1">IFERROR(__xludf.DUMMYFUNCTION("GOOGLETRANSLATE(B407,""auto"",""en"")"),"Blocks / fight inserted")</f>
        <v>Blocks / fight inserted</v>
      </c>
      <c r="I407" s="3" t="str">
        <f ca="1">IFERROR(__xludf.DUMMYFUNCTION("GOOGLETRANSLATE(C407,""auto"",""en"")"),"Disassembly combination of class")</f>
        <v>Disassembly combination of class</v>
      </c>
    </row>
    <row r="408" spans="1:9" ht="13" x14ac:dyDescent="0.15">
      <c r="A408" s="2" t="s">
        <v>383</v>
      </c>
      <c r="B408" s="2" t="s">
        <v>421</v>
      </c>
      <c r="C408" s="2" t="s">
        <v>427</v>
      </c>
      <c r="D408" s="3">
        <v>1607987</v>
      </c>
      <c r="E408" s="3">
        <v>219005</v>
      </c>
      <c r="F408" s="3">
        <v>144</v>
      </c>
      <c r="G408" s="3" t="s">
        <v>386</v>
      </c>
      <c r="H408" s="3" t="str">
        <f ca="1">IFERROR(__xludf.DUMMYFUNCTION("GOOGLETRANSLATE(B408,""auto"",""en"")"),"Blocks / fight inserted")</f>
        <v>Blocks / fight inserted</v>
      </c>
      <c r="I408" s="3" t="str">
        <f ca="1">IFERROR(__xludf.DUMMYFUNCTION("GOOGLETRANSLATE(C408,""auto"",""en"")"),"Magnetic film")</f>
        <v>Magnetic film</v>
      </c>
    </row>
    <row r="409" spans="1:9" ht="13" x14ac:dyDescent="0.15">
      <c r="A409" s="2" t="s">
        <v>383</v>
      </c>
      <c r="B409" s="2" t="s">
        <v>421</v>
      </c>
      <c r="C409" s="2" t="s">
        <v>396</v>
      </c>
      <c r="D409" s="3">
        <v>1607987</v>
      </c>
      <c r="E409" s="3">
        <v>219005</v>
      </c>
      <c r="F409" s="3">
        <v>136</v>
      </c>
      <c r="G409" s="3" t="s">
        <v>386</v>
      </c>
      <c r="H409" s="3" t="str">
        <f ca="1">IFERROR(__xludf.DUMMYFUNCTION("GOOGLETRANSLATE(B409,""auto"",""en"")"),"Blocks / fight inserted")</f>
        <v>Blocks / fight inserted</v>
      </c>
      <c r="I409" s="3" t="str">
        <f ca="1">IFERROR(__xludf.DUMMYFUNCTION("GOOGLETRANSLATE(C409,""auto"",""en"")"),"Jigsaw / puzzle")</f>
        <v>Jigsaw / puzzle</v>
      </c>
    </row>
    <row r="410" spans="1:9" ht="13" x14ac:dyDescent="0.15">
      <c r="A410" s="2" t="s">
        <v>383</v>
      </c>
      <c r="B410" s="2" t="s">
        <v>421</v>
      </c>
      <c r="C410" s="2" t="s">
        <v>428</v>
      </c>
      <c r="D410" s="3">
        <v>1607987</v>
      </c>
      <c r="E410" s="3">
        <v>219005</v>
      </c>
      <c r="F410" s="3">
        <v>55</v>
      </c>
      <c r="G410" s="3" t="s">
        <v>386</v>
      </c>
      <c r="H410" s="3" t="str">
        <f ca="1">IFERROR(__xludf.DUMMYFUNCTION("GOOGLETRANSLATE(B410,""auto"",""en"")"),"Blocks / fight inserted")</f>
        <v>Blocks / fight inserted</v>
      </c>
      <c r="I410" s="3" t="str">
        <f ca="1">IFERROR(__xludf.DUMMYFUNCTION("GOOGLETRANSLATE(C410,""auto"",""en"")"),"绕珠")</f>
        <v>绕珠</v>
      </c>
    </row>
    <row r="411" spans="1:9" ht="13" x14ac:dyDescent="0.15">
      <c r="A411" s="2" t="s">
        <v>383</v>
      </c>
      <c r="B411" s="2" t="s">
        <v>421</v>
      </c>
      <c r="C411" s="2" t="s">
        <v>399</v>
      </c>
      <c r="D411" s="3">
        <v>1607987</v>
      </c>
      <c r="E411" s="3">
        <v>219005</v>
      </c>
      <c r="F411" s="3">
        <v>18</v>
      </c>
      <c r="G411" s="3" t="s">
        <v>386</v>
      </c>
      <c r="H411" s="3" t="str">
        <f ca="1">IFERROR(__xludf.DUMMYFUNCTION("GOOGLETRANSLATE(B411,""auto"",""en"")"),"Blocks / fight inserted")</f>
        <v>Blocks / fight inserted</v>
      </c>
      <c r="I411" s="3" t="str">
        <f ca="1">IFERROR(__xludf.DUMMYFUNCTION("GOOGLETRANSLATE(C411,""auto"",""en"")"),"Digital House / shape matching")</f>
        <v>Digital House / shape matching</v>
      </c>
    </row>
    <row r="412" spans="1:9" ht="13" x14ac:dyDescent="0.15">
      <c r="A412" s="2" t="s">
        <v>383</v>
      </c>
      <c r="B412" s="2" t="s">
        <v>429</v>
      </c>
      <c r="C412" s="2" t="s">
        <v>430</v>
      </c>
      <c r="D412" s="3">
        <v>1607987</v>
      </c>
      <c r="E412" s="3">
        <v>172604</v>
      </c>
      <c r="F412" s="3">
        <v>72199</v>
      </c>
      <c r="G412" s="3" t="s">
        <v>386</v>
      </c>
      <c r="H412" s="3" t="str">
        <f ca="1">IFERROR(__xludf.DUMMYFUNCTION("GOOGLETRANSLATE(B412,""auto"",""en"")"),"Infant toys")</f>
        <v>Infant toys</v>
      </c>
      <c r="I412" s="3" t="str">
        <f ca="1">IFERROR(__xludf.DUMMYFUNCTION("GOOGLETRANSLATE(C412,""auto"",""en"")"),"Crawl pad / game blanket")</f>
        <v>Crawl pad / game blanket</v>
      </c>
    </row>
    <row r="413" spans="1:9" ht="13" x14ac:dyDescent="0.15">
      <c r="A413" s="2" t="s">
        <v>383</v>
      </c>
      <c r="B413" s="2" t="s">
        <v>429</v>
      </c>
      <c r="C413" s="2" t="s">
        <v>431</v>
      </c>
      <c r="D413" s="3">
        <v>1607987</v>
      </c>
      <c r="E413" s="3">
        <v>172604</v>
      </c>
      <c r="F413" s="3">
        <v>51815</v>
      </c>
      <c r="G413" s="3" t="s">
        <v>386</v>
      </c>
      <c r="H413" s="3" t="str">
        <f ca="1">IFERROR(__xludf.DUMMYFUNCTION("GOOGLETRANSLATE(B413,""auto"",""en"")"),"Infant toys")</f>
        <v>Infant toys</v>
      </c>
      <c r="I413" s="3" t="str">
        <f ca="1">IFERROR(__xludf.DUMMYFUNCTION("GOOGLETRANSLATE(C413,""auto"",""en"")"),"Teether / rattles")</f>
        <v>Teether / rattles</v>
      </c>
    </row>
    <row r="414" spans="1:9" ht="13" x14ac:dyDescent="0.15">
      <c r="A414" s="2" t="s">
        <v>383</v>
      </c>
      <c r="B414" s="2" t="s">
        <v>429</v>
      </c>
      <c r="C414" s="2" t="s">
        <v>432</v>
      </c>
      <c r="D414" s="3">
        <v>1607987</v>
      </c>
      <c r="E414" s="3">
        <v>172604</v>
      </c>
      <c r="F414" s="3">
        <v>17003</v>
      </c>
      <c r="G414" s="3" t="s">
        <v>386</v>
      </c>
      <c r="H414" s="3" t="str">
        <f ca="1">IFERROR(__xludf.DUMMYFUNCTION("GOOGLETRANSLATE(B414,""auto"",""en"")"),"Infant toys")</f>
        <v>Infant toys</v>
      </c>
      <c r="I414" s="3" t="str">
        <f ca="1">IFERROR(__xludf.DUMMYFUNCTION("GOOGLETRANSLATE(C414,""auto"",""en"")"),"Toddler / fitness frame")</f>
        <v>Toddler / fitness frame</v>
      </c>
    </row>
    <row r="415" spans="1:9" ht="13" x14ac:dyDescent="0.15">
      <c r="A415" s="2" t="s">
        <v>383</v>
      </c>
      <c r="B415" s="2" t="s">
        <v>429</v>
      </c>
      <c r="C415" s="2" t="s">
        <v>433</v>
      </c>
      <c r="D415" s="3">
        <v>1607987</v>
      </c>
      <c r="E415" s="3">
        <v>172604</v>
      </c>
      <c r="F415" s="3">
        <v>9884</v>
      </c>
      <c r="G415" s="3" t="s">
        <v>386</v>
      </c>
      <c r="H415" s="3" t="str">
        <f ca="1">IFERROR(__xludf.DUMMYFUNCTION("GOOGLETRANSLATE(B415,""auto"",""en"")"),"Infant toys")</f>
        <v>Infant toys</v>
      </c>
      <c r="I415" s="3" t="str">
        <f ca="1">IFERROR(__xludf.DUMMYFUNCTION("GOOGLETRANSLATE(C415,""auto"",""en"")"),"Other newborn toys")</f>
        <v>Other newborn toys</v>
      </c>
    </row>
    <row r="416" spans="1:9" ht="13" x14ac:dyDescent="0.15">
      <c r="A416" s="2" t="s">
        <v>383</v>
      </c>
      <c r="B416" s="2" t="s">
        <v>429</v>
      </c>
      <c r="C416" s="2" t="s">
        <v>434</v>
      </c>
      <c r="D416" s="3">
        <v>1607987</v>
      </c>
      <c r="E416" s="3">
        <v>172604</v>
      </c>
      <c r="F416" s="3">
        <v>7124</v>
      </c>
      <c r="G416" s="3" t="s">
        <v>386</v>
      </c>
      <c r="H416" s="3" t="str">
        <f ca="1">IFERROR(__xludf.DUMMYFUNCTION("GOOGLETRANSLATE(B416,""auto"",""en"")"),"Infant toys")</f>
        <v>Infant toys</v>
      </c>
      <c r="I416" s="3" t="str">
        <f ca="1">IFERROR(__xludf.DUMMYFUNCTION("GOOGLETRANSLATE(C416,""auto"",""en"")"),"Cloth book / puppet")</f>
        <v>Cloth book / puppet</v>
      </c>
    </row>
    <row r="417" spans="1:9" ht="13" x14ac:dyDescent="0.15">
      <c r="A417" s="2" t="s">
        <v>383</v>
      </c>
      <c r="B417" s="2" t="s">
        <v>429</v>
      </c>
      <c r="C417" s="2" t="s">
        <v>435</v>
      </c>
      <c r="D417" s="3">
        <v>1607987</v>
      </c>
      <c r="E417" s="3">
        <v>172604</v>
      </c>
      <c r="F417" s="3">
        <v>4845</v>
      </c>
      <c r="G417" s="3" t="s">
        <v>386</v>
      </c>
      <c r="H417" s="3" t="str">
        <f ca="1">IFERROR(__xludf.DUMMYFUNCTION("GOOGLETRANSLATE(B417,""auto"",""en"")"),"Infant toys")</f>
        <v>Infant toys</v>
      </c>
      <c r="I417" s="3" t="str">
        <f ca="1">IFERROR(__xludf.DUMMYFUNCTION("GOOGLETRANSLATE(C417,""auto"",""en"")"),"Bed bell / lathes hanging / rocking chair / appease")</f>
        <v>Bed bell / lathes hanging / rocking chair / appease</v>
      </c>
    </row>
    <row r="418" spans="1:9" ht="13" x14ac:dyDescent="0.15">
      <c r="A418" s="2" t="s">
        <v>383</v>
      </c>
      <c r="B418" s="2" t="s">
        <v>429</v>
      </c>
      <c r="C418" s="2" t="s">
        <v>436</v>
      </c>
      <c r="D418" s="3">
        <v>1607987</v>
      </c>
      <c r="E418" s="3">
        <v>172604</v>
      </c>
      <c r="F418" s="3">
        <v>3215</v>
      </c>
      <c r="G418" s="3" t="s">
        <v>386</v>
      </c>
      <c r="H418" s="3" t="str">
        <f ca="1">IFERROR(__xludf.DUMMYFUNCTION("GOOGLETRANSLATE(B418,""auto"",""en"")"),"Infant toys")</f>
        <v>Infant toys</v>
      </c>
      <c r="I418" s="3" t="str">
        <f ca="1">IFERROR(__xludf.DUMMYFUNCTION("GOOGLETRANSLATE(C418,""auto"",""en"")"),"Piles of music / tumbler")</f>
        <v>Piles of music / tumbler</v>
      </c>
    </row>
    <row r="419" spans="1:9" ht="13" x14ac:dyDescent="0.15">
      <c r="A419" s="2" t="s">
        <v>383</v>
      </c>
      <c r="B419" s="2" t="s">
        <v>429</v>
      </c>
      <c r="C419" s="2" t="s">
        <v>437</v>
      </c>
      <c r="D419" s="3">
        <v>1607987</v>
      </c>
      <c r="E419" s="3">
        <v>172604</v>
      </c>
      <c r="F419" s="3">
        <v>2392</v>
      </c>
      <c r="G419" s="3" t="s">
        <v>386</v>
      </c>
      <c r="H419" s="3" t="str">
        <f ca="1">IFERROR(__xludf.DUMMYFUNCTION("GOOGLETRANSLATE(B419,""auto"",""en"")"),"Infant toys")</f>
        <v>Infant toys</v>
      </c>
      <c r="I419" s="3" t="str">
        <f ca="1">IFERROR(__xludf.DUMMYFUNCTION("GOOGLETRANSLATE(C419,""auto"",""en"")"),"Souvenirs / personalized products")</f>
        <v>Souvenirs / personalized products</v>
      </c>
    </row>
    <row r="420" spans="1:9" ht="13" x14ac:dyDescent="0.15">
      <c r="A420" s="2" t="s">
        <v>383</v>
      </c>
      <c r="B420" s="2" t="s">
        <v>429</v>
      </c>
      <c r="C420" s="2" t="s">
        <v>438</v>
      </c>
      <c r="D420" s="3">
        <v>1607987</v>
      </c>
      <c r="E420" s="3">
        <v>172604</v>
      </c>
      <c r="F420" s="3">
        <v>1138</v>
      </c>
      <c r="G420" s="3" t="s">
        <v>386</v>
      </c>
      <c r="H420" s="3" t="str">
        <f ca="1">IFERROR(__xludf.DUMMYFUNCTION("GOOGLETRANSLATE(B420,""auto"",""en"")"),"Infant toys")</f>
        <v>Infant toys</v>
      </c>
      <c r="I420" s="3" t="str">
        <f ca="1">IFERROR(__xludf.DUMMYFUNCTION("GOOGLETRANSLATE(C420,""auto"",""en"")"),"Children learn to climb toys")</f>
        <v>Children learn to climb toys</v>
      </c>
    </row>
    <row r="421" spans="1:9" ht="13" x14ac:dyDescent="0.15">
      <c r="A421" s="2" t="s">
        <v>383</v>
      </c>
      <c r="B421" s="2" t="s">
        <v>429</v>
      </c>
      <c r="C421" s="2" t="s">
        <v>439</v>
      </c>
      <c r="D421" s="3">
        <v>1607987</v>
      </c>
      <c r="E421" s="3">
        <v>172604</v>
      </c>
      <c r="F421" s="3">
        <v>1078</v>
      </c>
      <c r="G421" s="3" t="s">
        <v>386</v>
      </c>
      <c r="H421" s="3" t="str">
        <f ca="1">IFERROR(__xludf.DUMMYFUNCTION("GOOGLETRANSLATE(B421,""auto"",""en"")"),"Infant toys")</f>
        <v>Infant toys</v>
      </c>
      <c r="I421" s="3" t="str">
        <f ca="1">IFERROR(__xludf.DUMMYFUNCTION("GOOGLETRANSLATE(C421,""auto"",""en"")"),"Push toddler toys")</f>
        <v>Push toddler toys</v>
      </c>
    </row>
    <row r="422" spans="1:9" ht="13" x14ac:dyDescent="0.15">
      <c r="A422" s="2" t="s">
        <v>383</v>
      </c>
      <c r="B422" s="2" t="s">
        <v>429</v>
      </c>
      <c r="C422" s="2" t="s">
        <v>440</v>
      </c>
      <c r="D422" s="3">
        <v>1607987</v>
      </c>
      <c r="E422" s="3">
        <v>172604</v>
      </c>
      <c r="F422" s="3">
        <v>576</v>
      </c>
      <c r="G422" s="3" t="s">
        <v>386</v>
      </c>
      <c r="H422" s="3" t="str">
        <f ca="1">IFERROR(__xludf.DUMMYFUNCTION("GOOGLETRANSLATE(B422,""auto"",""en"")"),"Infant toys")</f>
        <v>Infant toys</v>
      </c>
      <c r="I422" s="3" t="str">
        <f ca="1">IFERROR(__xludf.DUMMYFUNCTION("GOOGLETRANSLATE(C422,""auto"",""en"")"),"Infant beaded")</f>
        <v>Infant beaded</v>
      </c>
    </row>
    <row r="423" spans="1:9" ht="13" x14ac:dyDescent="0.15">
      <c r="A423" s="2" t="s">
        <v>383</v>
      </c>
      <c r="B423" s="2" t="s">
        <v>429</v>
      </c>
      <c r="C423" s="2" t="s">
        <v>441</v>
      </c>
      <c r="D423" s="3">
        <v>1607987</v>
      </c>
      <c r="E423" s="3">
        <v>172604</v>
      </c>
      <c r="F423" s="3">
        <v>562</v>
      </c>
      <c r="G423" s="3" t="s">
        <v>386</v>
      </c>
      <c r="H423" s="3" t="str">
        <f ca="1">IFERROR(__xludf.DUMMYFUNCTION("GOOGLETRANSLATE(B423,""auto"",""en"")"),"Infant toys")</f>
        <v>Infant toys</v>
      </c>
      <c r="I423" s="3" t="str">
        <f ca="1">IFERROR(__xludf.DUMMYFUNCTION("GOOGLETRANSLATE(C423,""auto"",""en"")"),"Rattle drum")</f>
        <v>Rattle drum</v>
      </c>
    </row>
    <row r="424" spans="1:9" ht="13" x14ac:dyDescent="0.15">
      <c r="A424" s="2" t="s">
        <v>383</v>
      </c>
      <c r="B424" s="2" t="s">
        <v>429</v>
      </c>
      <c r="C424" s="2" t="s">
        <v>442</v>
      </c>
      <c r="D424" s="3">
        <v>1607987</v>
      </c>
      <c r="E424" s="3">
        <v>172604</v>
      </c>
      <c r="F424" s="3">
        <v>451</v>
      </c>
      <c r="G424" s="3" t="s">
        <v>386</v>
      </c>
      <c r="H424" s="3" t="str">
        <f ca="1">IFERROR(__xludf.DUMMYFUNCTION("GOOGLETRANSLATE(B424,""auto"",""en"")"),"Infant toys")</f>
        <v>Infant toys</v>
      </c>
      <c r="I424" s="3" t="str">
        <f ca="1">IFERROR(__xludf.DUMMYFUNCTION("GOOGLETRANSLATE(C424,""auto"",""en"")"),"Drag toddler toys")</f>
        <v>Drag toddler toys</v>
      </c>
    </row>
    <row r="425" spans="1:9" ht="13" x14ac:dyDescent="0.15">
      <c r="A425" s="2" t="s">
        <v>383</v>
      </c>
      <c r="B425" s="2" t="s">
        <v>429</v>
      </c>
      <c r="C425" s="2" t="s">
        <v>367</v>
      </c>
      <c r="D425" s="3">
        <v>1607987</v>
      </c>
      <c r="E425" s="3">
        <v>172604</v>
      </c>
      <c r="F425" s="3">
        <v>315</v>
      </c>
      <c r="G425" s="3" t="s">
        <v>386</v>
      </c>
      <c r="H425" s="3" t="str">
        <f ca="1">IFERROR(__xludf.DUMMYFUNCTION("GOOGLETRANSLATE(B425,""auto"",""en"")"),"Infant toys")</f>
        <v>Infant toys</v>
      </c>
      <c r="I425" s="3" t="str">
        <f ca="1">IFERROR(__xludf.DUMMYFUNCTION("GOOGLETRANSLATE(C425,""auto"",""en"")"),"Stickers")</f>
        <v>Stickers</v>
      </c>
    </row>
    <row r="426" spans="1:9" ht="13" x14ac:dyDescent="0.15">
      <c r="A426" s="2" t="s">
        <v>383</v>
      </c>
      <c r="B426" s="2" t="s">
        <v>429</v>
      </c>
      <c r="C426" s="2" t="s">
        <v>443</v>
      </c>
      <c r="D426" s="3">
        <v>1607987</v>
      </c>
      <c r="E426" s="3">
        <v>172604</v>
      </c>
      <c r="F426" s="3">
        <v>5</v>
      </c>
      <c r="G426" s="3" t="s">
        <v>386</v>
      </c>
      <c r="H426" s="3" t="str">
        <f ca="1">IFERROR(__xludf.DUMMYFUNCTION("GOOGLETRANSLATE(B426,""auto"",""en"")"),"Infant toys")</f>
        <v>Infant toys</v>
      </c>
      <c r="I426" s="3" t="str">
        <f ca="1">IFERROR(__xludf.DUMMYFUNCTION("GOOGLETRANSLATE(C426,""auto"",""en"")"),"Baby Poster / Prenatal poster")</f>
        <v>Baby Poster / Prenatal poster</v>
      </c>
    </row>
    <row r="427" spans="1:9" ht="13" x14ac:dyDescent="0.15">
      <c r="A427" s="2" t="s">
        <v>383</v>
      </c>
      <c r="B427" s="2" t="s">
        <v>429</v>
      </c>
      <c r="C427" s="2" t="s">
        <v>444</v>
      </c>
      <c r="D427" s="3">
        <v>1607987</v>
      </c>
      <c r="E427" s="3">
        <v>172604</v>
      </c>
      <c r="F427" s="3">
        <v>2</v>
      </c>
      <c r="G427" s="3" t="s">
        <v>386</v>
      </c>
      <c r="H427" s="3" t="str">
        <f ca="1">IFERROR(__xludf.DUMMYFUNCTION("GOOGLETRANSLATE(B427,""auto"",""en"")"),"Infant toys")</f>
        <v>Infant toys</v>
      </c>
      <c r="I427" s="3" t="str">
        <f ca="1">IFERROR(__xludf.DUMMYFUNCTION("GOOGLETRANSLATE(C427,""auto"",""en"")"),"Cloth / soft blocks")</f>
        <v>Cloth / soft blocks</v>
      </c>
    </row>
    <row r="428" spans="1:9" ht="13" x14ac:dyDescent="0.15">
      <c r="A428" s="2" t="s">
        <v>383</v>
      </c>
      <c r="B428" s="2" t="s">
        <v>445</v>
      </c>
      <c r="C428" s="2" t="s">
        <v>446</v>
      </c>
      <c r="D428" s="3">
        <v>1607987</v>
      </c>
      <c r="E428" s="3">
        <v>130302</v>
      </c>
      <c r="F428" s="3">
        <v>70635</v>
      </c>
      <c r="G428" s="3" t="s">
        <v>386</v>
      </c>
      <c r="H428" s="3" t="str">
        <f ca="1">IFERROR(__xludf.DUMMYFUNCTION("GOOGLETRANSLATE(B428,""auto"",""en"")"),"Outdoor sports / leisure / traditional toys")</f>
        <v>Outdoor sports / leisure / traditional toys</v>
      </c>
      <c r="I428" s="3" t="str">
        <f ca="1">IFERROR(__xludf.DUMMYFUNCTION("GOOGLETRANSLATE(C428,""auto"",""en"")"),"Pool / swimming toys")</f>
        <v>Pool / swimming toys</v>
      </c>
    </row>
    <row r="429" spans="1:9" ht="13" x14ac:dyDescent="0.15">
      <c r="A429" s="2" t="s">
        <v>383</v>
      </c>
      <c r="B429" s="2" t="s">
        <v>445</v>
      </c>
      <c r="C429" s="2" t="s">
        <v>447</v>
      </c>
      <c r="D429" s="3">
        <v>1607987</v>
      </c>
      <c r="E429" s="3">
        <v>130302</v>
      </c>
      <c r="F429" s="3">
        <v>19250</v>
      </c>
      <c r="G429" s="3" t="s">
        <v>386</v>
      </c>
      <c r="H429" s="3" t="str">
        <f ca="1">IFERROR(__xludf.DUMMYFUNCTION("GOOGLETRANSLATE(B429,""auto"",""en"")"),"Outdoor sports / leisure / traditional toys")</f>
        <v>Outdoor sports / leisure / traditional toys</v>
      </c>
      <c r="I429" s="3" t="str">
        <f ca="1">IFERROR(__xludf.DUMMYFUNCTION("GOOGLETRANSLATE(C429,""auto"",""en"")"),"Other outdoor recreational toys")</f>
        <v>Other outdoor recreational toys</v>
      </c>
    </row>
    <row r="430" spans="1:9" ht="13" x14ac:dyDescent="0.15">
      <c r="A430" s="2" t="s">
        <v>383</v>
      </c>
      <c r="B430" s="2" t="s">
        <v>445</v>
      </c>
      <c r="C430" s="2" t="s">
        <v>448</v>
      </c>
      <c r="D430" s="3">
        <v>1607987</v>
      </c>
      <c r="E430" s="3">
        <v>130302</v>
      </c>
      <c r="F430" s="3">
        <v>16979</v>
      </c>
      <c r="G430" s="3" t="s">
        <v>386</v>
      </c>
      <c r="H430" s="3" t="str">
        <f ca="1">IFERROR(__xludf.DUMMYFUNCTION("GOOGLETRANSLATE(B430,""auto"",""en"")"),"Outdoor sports / leisure / traditional toys")</f>
        <v>Outdoor sports / leisure / traditional toys</v>
      </c>
      <c r="I430" s="3" t="str">
        <f ca="1">IFERROR(__xludf.DUMMYFUNCTION("GOOGLETRANSLATE(C430,""auto"",""en"")"),"Ball")</f>
        <v>Ball</v>
      </c>
    </row>
    <row r="431" spans="1:9" ht="13" x14ac:dyDescent="0.15">
      <c r="A431" s="2" t="s">
        <v>383</v>
      </c>
      <c r="B431" s="2" t="s">
        <v>445</v>
      </c>
      <c r="C431" s="2" t="s">
        <v>449</v>
      </c>
      <c r="D431" s="3">
        <v>1607987</v>
      </c>
      <c r="E431" s="3">
        <v>130302</v>
      </c>
      <c r="F431" s="3">
        <v>8104</v>
      </c>
      <c r="G431" s="3" t="s">
        <v>386</v>
      </c>
      <c r="H431" s="3" t="str">
        <f ca="1">IFERROR(__xludf.DUMMYFUNCTION("GOOGLETRANSLATE(B431,""auto"",""en"")"),"Outdoor sports / leisure / traditional toys")</f>
        <v>Outdoor sports / leisure / traditional toys</v>
      </c>
      <c r="I431" s="3" t="str">
        <f ca="1">IFERROR(__xludf.DUMMYFUNCTION("GOOGLETRANSLATE(C431,""auto"",""en"")"),"Children tent / game house")</f>
        <v>Children tent / game house</v>
      </c>
    </row>
    <row r="432" spans="1:9" ht="13" x14ac:dyDescent="0.15">
      <c r="A432" s="2" t="s">
        <v>383</v>
      </c>
      <c r="B432" s="2" t="s">
        <v>445</v>
      </c>
      <c r="C432" s="2" t="s">
        <v>450</v>
      </c>
      <c r="D432" s="3">
        <v>1607987</v>
      </c>
      <c r="E432" s="3">
        <v>130302</v>
      </c>
      <c r="F432" s="3">
        <v>3362</v>
      </c>
      <c r="G432" s="3" t="s">
        <v>386</v>
      </c>
      <c r="H432" s="3" t="str">
        <f ca="1">IFERROR(__xludf.DUMMYFUNCTION("GOOGLETRANSLATE(B432,""auto"",""en"")"),"Outdoor sports / leisure / traditional toys")</f>
        <v>Outdoor sports / leisure / traditional toys</v>
      </c>
      <c r="I432" s="3" t="str">
        <f ca="1">IFERROR(__xludf.DUMMYFUNCTION("GOOGLETRANSLATE(C432,""auto"",""en"")"),"Ocean ball / ball ball")</f>
        <v>Ocean ball / ball ball</v>
      </c>
    </row>
    <row r="433" spans="1:9" ht="13" x14ac:dyDescent="0.15">
      <c r="A433" s="2" t="s">
        <v>383</v>
      </c>
      <c r="B433" s="2" t="s">
        <v>445</v>
      </c>
      <c r="C433" s="2" t="s">
        <v>451</v>
      </c>
      <c r="D433" s="3">
        <v>1607987</v>
      </c>
      <c r="E433" s="3">
        <v>130302</v>
      </c>
      <c r="F433" s="3">
        <v>3173</v>
      </c>
      <c r="G433" s="3" t="s">
        <v>386</v>
      </c>
      <c r="H433" s="3" t="str">
        <f ca="1">IFERROR(__xludf.DUMMYFUNCTION("GOOGLETRANSLATE(B433,""auto"",""en"")"),"Outdoor sports / leisure / traditional toys")</f>
        <v>Outdoor sports / leisure / traditional toys</v>
      </c>
      <c r="I433" s="3" t="str">
        <f ca="1">IFERROR(__xludf.DUMMYFUNCTION("GOOGLETRANSLATE(C433,""auto"",""en"")"),"blowing bubbles")</f>
        <v>blowing bubbles</v>
      </c>
    </row>
    <row r="434" spans="1:9" ht="13" x14ac:dyDescent="0.15">
      <c r="A434" s="2" t="s">
        <v>383</v>
      </c>
      <c r="B434" s="2" t="s">
        <v>445</v>
      </c>
      <c r="C434" s="2" t="s">
        <v>452</v>
      </c>
      <c r="D434" s="3">
        <v>1607987</v>
      </c>
      <c r="E434" s="3">
        <v>130302</v>
      </c>
      <c r="F434" s="3">
        <v>1812</v>
      </c>
      <c r="G434" s="3" t="s">
        <v>386</v>
      </c>
      <c r="H434" s="3" t="str">
        <f ca="1">IFERROR(__xludf.DUMMYFUNCTION("GOOGLETRANSLATE(B434,""auto"",""en"")"),"Outdoor sports / leisure / traditional toys")</f>
        <v>Outdoor sports / leisure / traditional toys</v>
      </c>
      <c r="I434" s="3" t="str">
        <f ca="1">IFERROR(__xludf.DUMMYFUNCTION("GOOGLETRANSLATE(C434,""auto"",""en"")"),"Rocking horse")</f>
        <v>Rocking horse</v>
      </c>
    </row>
    <row r="435" spans="1:9" ht="13" x14ac:dyDescent="0.15">
      <c r="A435" s="2" t="s">
        <v>383</v>
      </c>
      <c r="B435" s="2" t="s">
        <v>445</v>
      </c>
      <c r="C435" s="2" t="s">
        <v>453</v>
      </c>
      <c r="D435" s="3">
        <v>1607987</v>
      </c>
      <c r="E435" s="3">
        <v>130302</v>
      </c>
      <c r="F435" s="3">
        <v>1440</v>
      </c>
      <c r="G435" s="3" t="s">
        <v>386</v>
      </c>
      <c r="H435" s="3" t="str">
        <f ca="1">IFERROR(__xludf.DUMMYFUNCTION("GOOGLETRANSLATE(B435,""auto"",""en"")"),"Outdoor sports / leisure / traditional toys")</f>
        <v>Outdoor sports / leisure / traditional toys</v>
      </c>
      <c r="I435" s="3" t="str">
        <f ca="1">IFERROR(__xludf.DUMMYFUNCTION("GOOGLETRANSLATE(C435,""auto"",""en"")"),"Gyro")</f>
        <v>Gyro</v>
      </c>
    </row>
    <row r="436" spans="1:9" ht="13" x14ac:dyDescent="0.15">
      <c r="A436" s="2" t="s">
        <v>383</v>
      </c>
      <c r="B436" s="2" t="s">
        <v>445</v>
      </c>
      <c r="C436" s="2" t="s">
        <v>454</v>
      </c>
      <c r="D436" s="3">
        <v>1607987</v>
      </c>
      <c r="E436" s="3">
        <v>130302</v>
      </c>
      <c r="F436" s="3">
        <v>1428</v>
      </c>
      <c r="G436" s="3" t="s">
        <v>386</v>
      </c>
      <c r="H436" s="3" t="str">
        <f ca="1">IFERROR(__xludf.DUMMYFUNCTION("GOOGLETRANSLATE(B436,""auto"",""en"")"),"Outdoor sports / leisure / traditional toys")</f>
        <v>Outdoor sports / leisure / traditional toys</v>
      </c>
      <c r="I436" s="3" t="str">
        <f ca="1">IFERROR(__xludf.DUMMYFUNCTION("GOOGLETRANSLATE(C436,""auto"",""en"")"),"Traditional Nostalgic Toys")</f>
        <v>Traditional Nostalgic Toys</v>
      </c>
    </row>
    <row r="437" spans="1:9" ht="13" x14ac:dyDescent="0.15">
      <c r="A437" s="2" t="s">
        <v>383</v>
      </c>
      <c r="B437" s="2" t="s">
        <v>445</v>
      </c>
      <c r="C437" s="2" t="s">
        <v>455</v>
      </c>
      <c r="D437" s="3">
        <v>1607987</v>
      </c>
      <c r="E437" s="3">
        <v>130302</v>
      </c>
      <c r="F437" s="3">
        <v>902</v>
      </c>
      <c r="G437" s="3" t="s">
        <v>386</v>
      </c>
      <c r="H437" s="3" t="str">
        <f ca="1">IFERROR(__xludf.DUMMYFUNCTION("GOOGLETRANSLATE(B437,""auto"",""en"")"),"Outdoor sports / leisure / traditional toys")</f>
        <v>Outdoor sports / leisure / traditional toys</v>
      </c>
      <c r="I437" s="3" t="str">
        <f ca="1">IFERROR(__xludf.DUMMYFUNCTION("GOOGLETRANSLATE(C437,""auto"",""en"")"),"Sports accessories")</f>
        <v>Sports accessories</v>
      </c>
    </row>
    <row r="438" spans="1:9" ht="13" x14ac:dyDescent="0.15">
      <c r="A438" s="2" t="s">
        <v>383</v>
      </c>
      <c r="B438" s="2" t="s">
        <v>445</v>
      </c>
      <c r="C438" s="2" t="s">
        <v>456</v>
      </c>
      <c r="D438" s="3">
        <v>1607987</v>
      </c>
      <c r="E438" s="3">
        <v>130302</v>
      </c>
      <c r="F438" s="3">
        <v>832</v>
      </c>
      <c r="G438" s="3" t="s">
        <v>386</v>
      </c>
      <c r="H438" s="3" t="str">
        <f ca="1">IFERROR(__xludf.DUMMYFUNCTION("GOOGLETRANSLATE(B438,""auto"",""en"")"),"Outdoor sports / leisure / traditional toys")</f>
        <v>Outdoor sports / leisure / traditional toys</v>
      </c>
      <c r="I438" s="3" t="str">
        <f ca="1">IFERROR(__xludf.DUMMYFUNCTION("GOOGLETRANSLATE(C438,""auto"",""en"")"),"Playpens")</f>
        <v>Playpens</v>
      </c>
    </row>
    <row r="439" spans="1:9" ht="13" x14ac:dyDescent="0.15">
      <c r="A439" s="2" t="s">
        <v>383</v>
      </c>
      <c r="B439" s="2" t="s">
        <v>445</v>
      </c>
      <c r="C439" s="2" t="s">
        <v>457</v>
      </c>
      <c r="D439" s="3">
        <v>1607987</v>
      </c>
      <c r="E439" s="3">
        <v>130302</v>
      </c>
      <c r="F439" s="3">
        <v>587</v>
      </c>
      <c r="G439" s="3" t="s">
        <v>386</v>
      </c>
      <c r="H439" s="3" t="str">
        <f ca="1">IFERROR(__xludf.DUMMYFUNCTION("GOOGLETRANSLATE(B439,""auto"",""en"")"),"Outdoor sports / leisure / traditional toys")</f>
        <v>Outdoor sports / leisure / traditional toys</v>
      </c>
      <c r="I439" s="3" t="str">
        <f ca="1">IFERROR(__xludf.DUMMYFUNCTION("GOOGLETRANSLATE(C439,""auto"",""en"")"),"Swing slides")</f>
        <v>Swing slides</v>
      </c>
    </row>
    <row r="440" spans="1:9" ht="13" x14ac:dyDescent="0.15">
      <c r="A440" s="2" t="s">
        <v>383</v>
      </c>
      <c r="B440" s="2" t="s">
        <v>445</v>
      </c>
      <c r="C440" s="2" t="s">
        <v>458</v>
      </c>
      <c r="D440" s="3">
        <v>1607987</v>
      </c>
      <c r="E440" s="3">
        <v>130302</v>
      </c>
      <c r="F440" s="3">
        <v>575</v>
      </c>
      <c r="G440" s="3" t="s">
        <v>386</v>
      </c>
      <c r="H440" s="3" t="str">
        <f ca="1">IFERROR(__xludf.DUMMYFUNCTION("GOOGLETRANSLATE(B440,""auto"",""en"")"),"Outdoor sports / leisure / traditional toys")</f>
        <v>Outdoor sports / leisure / traditional toys</v>
      </c>
      <c r="I440" s="3" t="str">
        <f ca="1">IFERROR(__xludf.DUMMYFUNCTION("GOOGLETRANSLATE(C440,""auto"",""en"")"),"Cycling Class")</f>
        <v>Cycling Class</v>
      </c>
    </row>
    <row r="441" spans="1:9" ht="13" x14ac:dyDescent="0.15">
      <c r="A441" s="2" t="s">
        <v>383</v>
      </c>
      <c r="B441" s="2" t="s">
        <v>445</v>
      </c>
      <c r="C441" s="2" t="s">
        <v>459</v>
      </c>
      <c r="D441" s="3">
        <v>1607987</v>
      </c>
      <c r="E441" s="3">
        <v>130302</v>
      </c>
      <c r="F441" s="3">
        <v>411</v>
      </c>
      <c r="G441" s="3" t="s">
        <v>386</v>
      </c>
      <c r="H441" s="3" t="str">
        <f ca="1">IFERROR(__xludf.DUMMYFUNCTION("GOOGLETRANSLATE(B441,""auto"",""en"")"),"Outdoor sports / leisure / traditional toys")</f>
        <v>Outdoor sports / leisure / traditional toys</v>
      </c>
      <c r="I441" s="3" t="str">
        <f ca="1">IFERROR(__xludf.DUMMYFUNCTION("GOOGLETRANSLATE(C441,""auto"",""en"")"),"Jumping toys / jumping class movement")</f>
        <v>Jumping toys / jumping class movement</v>
      </c>
    </row>
    <row r="442" spans="1:9" ht="13" x14ac:dyDescent="0.15">
      <c r="A442" s="2" t="s">
        <v>383</v>
      </c>
      <c r="B442" s="2" t="s">
        <v>445</v>
      </c>
      <c r="C442" s="2" t="s">
        <v>460</v>
      </c>
      <c r="D442" s="3">
        <v>1607987</v>
      </c>
      <c r="E442" s="3">
        <v>130302</v>
      </c>
      <c r="F442" s="3">
        <v>329</v>
      </c>
      <c r="G442" s="3" t="s">
        <v>386</v>
      </c>
      <c r="H442" s="3" t="str">
        <f ca="1">IFERROR(__xludf.DUMMYFUNCTION("GOOGLETRANSLATE(B442,""auto"",""en"")"),"Outdoor sports / leisure / traditional toys")</f>
        <v>Outdoor sports / leisure / traditional toys</v>
      </c>
      <c r="I442" s="3" t="str">
        <f ca="1">IFERROR(__xludf.DUMMYFUNCTION("GOOGLETRANSLATE(C442,""auto"",""en"")"),"rope skipping")</f>
        <v>rope skipping</v>
      </c>
    </row>
    <row r="443" spans="1:9" ht="13" x14ac:dyDescent="0.15">
      <c r="A443" s="2" t="s">
        <v>383</v>
      </c>
      <c r="B443" s="2" t="s">
        <v>445</v>
      </c>
      <c r="C443" s="2" t="s">
        <v>461</v>
      </c>
      <c r="D443" s="3">
        <v>1607987</v>
      </c>
      <c r="E443" s="3">
        <v>130302</v>
      </c>
      <c r="F443" s="3">
        <v>243</v>
      </c>
      <c r="G443" s="3" t="s">
        <v>386</v>
      </c>
      <c r="H443" s="3" t="str">
        <f ca="1">IFERROR(__xludf.DUMMYFUNCTION("GOOGLETRANSLATE(B443,""auto"",""en"")"),"Outdoor sports / leisure / traditional toys")</f>
        <v>Outdoor sports / leisure / traditional toys</v>
      </c>
      <c r="I443" s="3" t="str">
        <f ca="1">IFERROR(__xludf.DUMMYFUNCTION("GOOGLETRANSLATE(C443,""auto"",""en"")"),"Play equipment / large facilities")</f>
        <v>Play equipment / large facilities</v>
      </c>
    </row>
    <row r="444" spans="1:9" ht="13" x14ac:dyDescent="0.15">
      <c r="A444" s="2" t="s">
        <v>383</v>
      </c>
      <c r="B444" s="2" t="s">
        <v>445</v>
      </c>
      <c r="C444" s="2" t="s">
        <v>462</v>
      </c>
      <c r="D444" s="3">
        <v>1607987</v>
      </c>
      <c r="E444" s="3">
        <v>130302</v>
      </c>
      <c r="F444" s="3">
        <v>123</v>
      </c>
      <c r="G444" s="3" t="s">
        <v>386</v>
      </c>
      <c r="H444" s="3" t="str">
        <f ca="1">IFERROR(__xludf.DUMMYFUNCTION("GOOGLETRANSLATE(B444,""auto"",""en"")"),"Outdoor sports / leisure / traditional toys")</f>
        <v>Outdoor sports / leisure / traditional toys</v>
      </c>
      <c r="I444" s="3" t="str">
        <f ca="1">IFERROR(__xludf.DUMMYFUNCTION("GOOGLETRANSLATE(C444,""auto"",""en"")"),"Hula Hoop")</f>
        <v>Hula Hoop</v>
      </c>
    </row>
    <row r="445" spans="1:9" ht="13" x14ac:dyDescent="0.15">
      <c r="A445" s="2" t="s">
        <v>383</v>
      </c>
      <c r="B445" s="2" t="s">
        <v>445</v>
      </c>
      <c r="C445" s="2" t="s">
        <v>463</v>
      </c>
      <c r="D445" s="3">
        <v>1607987</v>
      </c>
      <c r="E445" s="3">
        <v>130302</v>
      </c>
      <c r="F445" s="3">
        <v>57</v>
      </c>
      <c r="G445" s="3" t="s">
        <v>386</v>
      </c>
      <c r="H445" s="3" t="str">
        <f ca="1">IFERROR(__xludf.DUMMYFUNCTION("GOOGLETRANSLATE(B445,""auto"",""en"")"),"Outdoor sports / leisure / traditional toys")</f>
        <v>Outdoor sports / leisure / traditional toys</v>
      </c>
      <c r="I445" s="3" t="str">
        <f ca="1">IFERROR(__xludf.DUMMYFUNCTION("GOOGLETRANSLATE(C445,""auto"",""en"")"),"Frisbee / flying saucer / bamboo dragonfly class")</f>
        <v>Frisbee / flying saucer / bamboo dragonfly class</v>
      </c>
    </row>
    <row r="446" spans="1:9" ht="13" x14ac:dyDescent="0.15">
      <c r="A446" s="2" t="s">
        <v>383</v>
      </c>
      <c r="B446" s="2" t="s">
        <v>445</v>
      </c>
      <c r="C446" s="2" t="s">
        <v>464</v>
      </c>
      <c r="D446" s="3">
        <v>1607987</v>
      </c>
      <c r="E446" s="3">
        <v>130302</v>
      </c>
      <c r="F446" s="3">
        <v>38</v>
      </c>
      <c r="G446" s="3" t="s">
        <v>386</v>
      </c>
      <c r="H446" s="3" t="str">
        <f ca="1">IFERROR(__xludf.DUMMYFUNCTION("GOOGLETRANSLATE(B446,""auto"",""en"")"),"Outdoor sports / leisure / traditional toys")</f>
        <v>Outdoor sports / leisure / traditional toys</v>
      </c>
      <c r="I446" s="3" t="str">
        <f ca="1">IFERROR(__xludf.DUMMYFUNCTION("GOOGLETRANSLATE(C446,""auto"",""en"")"),"Darts / shooting / archery class")</f>
        <v>Darts / shooting / archery class</v>
      </c>
    </row>
    <row r="447" spans="1:9" ht="13" x14ac:dyDescent="0.15">
      <c r="A447" s="2" t="s">
        <v>383</v>
      </c>
      <c r="B447" s="2" t="s">
        <v>445</v>
      </c>
      <c r="C447" s="2" t="s">
        <v>465</v>
      </c>
      <c r="D447" s="3">
        <v>1607987</v>
      </c>
      <c r="E447" s="3">
        <v>130302</v>
      </c>
      <c r="F447" s="3">
        <v>11</v>
      </c>
      <c r="G447" s="3" t="s">
        <v>386</v>
      </c>
      <c r="H447" s="3" t="str">
        <f ca="1">IFERROR(__xludf.DUMMYFUNCTION("GOOGLETRANSLATE(B447,""auto"",""en"")"),"Outdoor sports / leisure / traditional toys")</f>
        <v>Outdoor sports / leisure / traditional toys</v>
      </c>
      <c r="I447" s="3" t="str">
        <f ca="1">IFERROR(__xludf.DUMMYFUNCTION("GOOGLETRANSLATE(C447,""auto"",""en"")"),"Boxing bags / boxing gloves")</f>
        <v>Boxing bags / boxing gloves</v>
      </c>
    </row>
    <row r="448" spans="1:9" ht="13" x14ac:dyDescent="0.15">
      <c r="A448" s="2" t="s">
        <v>383</v>
      </c>
      <c r="B448" s="2" t="s">
        <v>445</v>
      </c>
      <c r="C448" s="2" t="s">
        <v>466</v>
      </c>
      <c r="D448" s="3">
        <v>1607987</v>
      </c>
      <c r="E448" s="3">
        <v>130302</v>
      </c>
      <c r="F448" s="3">
        <v>10</v>
      </c>
      <c r="G448" s="3" t="s">
        <v>386</v>
      </c>
      <c r="H448" s="3" t="str">
        <f ca="1">IFERROR(__xludf.DUMMYFUNCTION("GOOGLETRANSLATE(B448,""auto"",""en"")"),"Outdoor sports / leisure / traditional toys")</f>
        <v>Outdoor sports / leisure / traditional toys</v>
      </c>
      <c r="I448" s="3" t="str">
        <f ca="1">IFERROR(__xludf.DUMMYFUNCTION("GOOGLETRANSLATE(C448,""auto"",""en"")"),"windmill")</f>
        <v>windmill</v>
      </c>
    </row>
    <row r="449" spans="1:9" ht="13" x14ac:dyDescent="0.15">
      <c r="A449" s="2" t="s">
        <v>383</v>
      </c>
      <c r="B449" s="2" t="s">
        <v>445</v>
      </c>
      <c r="C449" s="2" t="s">
        <v>467</v>
      </c>
      <c r="D449" s="3">
        <v>1607987</v>
      </c>
      <c r="E449" s="3">
        <v>130302</v>
      </c>
      <c r="F449" s="3">
        <v>7</v>
      </c>
      <c r="G449" s="3" t="s">
        <v>386</v>
      </c>
      <c r="H449" s="3" t="str">
        <f ca="1">IFERROR(__xludf.DUMMYFUNCTION("GOOGLETRANSLATE(B449,""auto"",""en"")"),"Outdoor sports / leisure / traditional toys")</f>
        <v>Outdoor sports / leisure / traditional toys</v>
      </c>
      <c r="I449" s="3" t="str">
        <f ca="1">IFERROR(__xludf.DUMMYFUNCTION("GOOGLETRANSLATE(C449,""auto"",""en"")"),"Sand Hammer / Sand egg / sand ball")</f>
        <v>Sand Hammer / Sand egg / sand ball</v>
      </c>
    </row>
    <row r="450" spans="1:9" ht="13" x14ac:dyDescent="0.15">
      <c r="A450" s="2" t="s">
        <v>383</v>
      </c>
      <c r="B450" s="2" t="s">
        <v>445</v>
      </c>
      <c r="C450" s="2" t="s">
        <v>468</v>
      </c>
      <c r="D450" s="3">
        <v>1607987</v>
      </c>
      <c r="E450" s="3">
        <v>130302</v>
      </c>
      <c r="F450" s="3">
        <v>4</v>
      </c>
      <c r="G450" s="3" t="s">
        <v>386</v>
      </c>
      <c r="H450" s="3" t="str">
        <f ca="1">IFERROR(__xludf.DUMMYFUNCTION("GOOGLETRANSLATE(B450,""auto"",""en"")"),"Outdoor sports / leisure / traditional toys")</f>
        <v>Outdoor sports / leisure / traditional toys</v>
      </c>
      <c r="I450" s="3" t="str">
        <f ca="1">IFERROR(__xludf.DUMMYFUNCTION("GOOGLETRANSLATE(C450,""auto"",""en"")"),"Sandbags")</f>
        <v>Sandbags</v>
      </c>
    </row>
    <row r="451" spans="1:9" ht="13" x14ac:dyDescent="0.15">
      <c r="A451" s="2" t="s">
        <v>383</v>
      </c>
      <c r="B451" s="2" t="s">
        <v>445</v>
      </c>
      <c r="C451" s="2" t="s">
        <v>469</v>
      </c>
      <c r="D451" s="3">
        <v>1607987</v>
      </c>
      <c r="E451" s="3">
        <v>130302</v>
      </c>
      <c r="F451" s="3">
        <v>3</v>
      </c>
      <c r="G451" s="3" t="s">
        <v>386</v>
      </c>
      <c r="H451" s="3" t="str">
        <f ca="1">IFERROR(__xludf.DUMMYFUNCTION("GOOGLETRANSLATE(B451,""auto"",""en"")"),"Outdoor sports / leisure / traditional toys")</f>
        <v>Outdoor sports / leisure / traditional toys</v>
      </c>
      <c r="I451" s="3" t="str">
        <f ca="1">IFERROR(__xludf.DUMMYFUNCTION("GOOGLETRANSLATE(C451,""auto"",""en"")"),"Throwing rings")</f>
        <v>Throwing rings</v>
      </c>
    </row>
    <row r="452" spans="1:9" ht="13" x14ac:dyDescent="0.15">
      <c r="A452" s="2" t="s">
        <v>383</v>
      </c>
      <c r="B452" s="2" t="s">
        <v>470</v>
      </c>
      <c r="C452" s="2" t="s">
        <v>471</v>
      </c>
      <c r="D452" s="3">
        <v>1607987</v>
      </c>
      <c r="E452" s="3">
        <v>105960</v>
      </c>
      <c r="F452" s="3">
        <v>54871</v>
      </c>
      <c r="G452" s="3" t="s">
        <v>386</v>
      </c>
      <c r="H452" s="3" t="str">
        <f ca="1">IFERROR(__xludf.DUMMYFUNCTION("GOOGLETRANSLATE(B452,""auto"",""en"")"),"Music painting toys")</f>
        <v>Music painting toys</v>
      </c>
      <c r="I452" s="3" t="str">
        <f ca="1">IFERROR(__xludf.DUMMYFUNCTION("GOOGLETRANSLATE(C452,""auto"",""en"")"),"Painting Toys")</f>
        <v>Painting Toys</v>
      </c>
    </row>
    <row r="453" spans="1:9" ht="13" x14ac:dyDescent="0.15">
      <c r="A453" s="2" t="s">
        <v>383</v>
      </c>
      <c r="B453" s="2" t="s">
        <v>470</v>
      </c>
      <c r="C453" s="2" t="s">
        <v>472</v>
      </c>
      <c r="D453" s="3">
        <v>1607987</v>
      </c>
      <c r="E453" s="3">
        <v>105960</v>
      </c>
      <c r="F453" s="3">
        <v>31915</v>
      </c>
      <c r="G453" s="3" t="s">
        <v>386</v>
      </c>
      <c r="H453" s="3" t="str">
        <f ca="1">IFERROR(__xludf.DUMMYFUNCTION("GOOGLETRANSLATE(B453,""auto"",""en"")"),"Music painting toys")</f>
        <v>Music painting toys</v>
      </c>
      <c r="I453" s="3" t="str">
        <f ca="1">IFERROR(__xludf.DUMMYFUNCTION("GOOGLETRANSLATE(C453,""auto"",""en"")"),"percussion")</f>
        <v>percussion</v>
      </c>
    </row>
    <row r="454" spans="1:9" ht="13" x14ac:dyDescent="0.15">
      <c r="A454" s="2" t="s">
        <v>383</v>
      </c>
      <c r="B454" s="2" t="s">
        <v>470</v>
      </c>
      <c r="C454" s="2" t="s">
        <v>473</v>
      </c>
      <c r="D454" s="3">
        <v>1607987</v>
      </c>
      <c r="E454" s="3">
        <v>105960</v>
      </c>
      <c r="F454" s="3">
        <v>4853</v>
      </c>
      <c r="G454" s="3" t="s">
        <v>386</v>
      </c>
      <c r="H454" s="3" t="str">
        <f ca="1">IFERROR(__xludf.DUMMYFUNCTION("GOOGLETRANSLATE(B454,""auto"",""en"")"),"Music painting toys")</f>
        <v>Music painting toys</v>
      </c>
      <c r="I454" s="3" t="str">
        <f ca="1">IFERROR(__xludf.DUMMYFUNCTION("GOOGLETRANSLATE(C454,""auto"",""en"")"),"Drums")</f>
        <v>Drums</v>
      </c>
    </row>
    <row r="455" spans="1:9" ht="13" x14ac:dyDescent="0.15">
      <c r="A455" s="2" t="s">
        <v>383</v>
      </c>
      <c r="B455" s="2" t="s">
        <v>470</v>
      </c>
      <c r="C455" s="2" t="s">
        <v>474</v>
      </c>
      <c r="D455" s="3">
        <v>1607987</v>
      </c>
      <c r="E455" s="3">
        <v>105960</v>
      </c>
      <c r="F455" s="3">
        <v>3820</v>
      </c>
      <c r="G455" s="3" t="s">
        <v>386</v>
      </c>
      <c r="H455" s="3" t="str">
        <f ca="1">IFERROR(__xludf.DUMMYFUNCTION("GOOGLETRANSLATE(B455,""auto"",""en"")"),"Music painting toys")</f>
        <v>Music painting toys</v>
      </c>
      <c r="I455" s="3" t="str">
        <f ca="1">IFERROR(__xludf.DUMMYFUNCTION("GOOGLETRANSLATE(C455,""auto"",""en"")"),"Toy guitar")</f>
        <v>Toy guitar</v>
      </c>
    </row>
    <row r="456" spans="1:9" ht="13" x14ac:dyDescent="0.15">
      <c r="A456" s="2" t="s">
        <v>383</v>
      </c>
      <c r="B456" s="2" t="s">
        <v>470</v>
      </c>
      <c r="C456" s="2" t="s">
        <v>475</v>
      </c>
      <c r="D456" s="3">
        <v>1607987</v>
      </c>
      <c r="E456" s="3">
        <v>105960</v>
      </c>
      <c r="F456" s="3">
        <v>3711</v>
      </c>
      <c r="G456" s="3" t="s">
        <v>386</v>
      </c>
      <c r="H456" s="3" t="str">
        <f ca="1">IFERROR(__xludf.DUMMYFUNCTION("GOOGLETRANSLATE(B456,""auto"",""en"")"),"Music painting toys")</f>
        <v>Music painting toys</v>
      </c>
      <c r="I456" s="3" t="str">
        <f ca="1">IFERROR(__xludf.DUMMYFUNCTION("GOOGLETRANSLATE(C456,""auto"",""en"")"),"Electric hand drum beat")</f>
        <v>Electric hand drum beat</v>
      </c>
    </row>
    <row r="457" spans="1:9" ht="13" x14ac:dyDescent="0.15">
      <c r="A457" s="2" t="s">
        <v>383</v>
      </c>
      <c r="B457" s="2" t="s">
        <v>470</v>
      </c>
      <c r="C457" s="2" t="s">
        <v>476</v>
      </c>
      <c r="D457" s="3">
        <v>1607987</v>
      </c>
      <c r="E457" s="3">
        <v>105960</v>
      </c>
      <c r="F457" s="3">
        <v>2323</v>
      </c>
      <c r="G457" s="3" t="s">
        <v>386</v>
      </c>
      <c r="H457" s="3" t="str">
        <f ca="1">IFERROR(__xludf.DUMMYFUNCTION("GOOGLETRANSLATE(B457,""auto"",""en"")"),"Music painting toys")</f>
        <v>Music painting toys</v>
      </c>
      <c r="I457" s="3" t="str">
        <f ca="1">IFERROR(__xludf.DUMMYFUNCTION("GOOGLETRANSLATE(C457,""auto"",""en"")"),"Music Toys")</f>
        <v>Music Toys</v>
      </c>
    </row>
    <row r="458" spans="1:9" ht="13" x14ac:dyDescent="0.15">
      <c r="A458" s="2" t="s">
        <v>383</v>
      </c>
      <c r="B458" s="2" t="s">
        <v>470</v>
      </c>
      <c r="C458" s="2" t="s">
        <v>477</v>
      </c>
      <c r="D458" s="3">
        <v>1607987</v>
      </c>
      <c r="E458" s="3">
        <v>105960</v>
      </c>
      <c r="F458" s="3">
        <v>2109</v>
      </c>
      <c r="G458" s="3" t="s">
        <v>386</v>
      </c>
      <c r="H458" s="3" t="str">
        <f ca="1">IFERROR(__xludf.DUMMYFUNCTION("GOOGLETRANSLATE(B458,""auto"",""en"")"),"Music painting toys")</f>
        <v>Music painting toys</v>
      </c>
      <c r="I458" s="3" t="str">
        <f ca="1">IFERROR(__xludf.DUMMYFUNCTION("GOOGLETRANSLATE(C458,""auto"",""en"")"),"Toy organ")</f>
        <v>Toy organ</v>
      </c>
    </row>
    <row r="459" spans="1:9" ht="13" x14ac:dyDescent="0.15">
      <c r="A459" s="2" t="s">
        <v>383</v>
      </c>
      <c r="B459" s="2" t="s">
        <v>470</v>
      </c>
      <c r="C459" s="2" t="s">
        <v>478</v>
      </c>
      <c r="D459" s="3">
        <v>1607987</v>
      </c>
      <c r="E459" s="3">
        <v>105960</v>
      </c>
      <c r="F459" s="3">
        <v>1646</v>
      </c>
      <c r="G459" s="3" t="s">
        <v>386</v>
      </c>
      <c r="H459" s="3" t="str">
        <f ca="1">IFERROR(__xludf.DUMMYFUNCTION("GOOGLETRANSLATE(B459,""auto"",""en"")"),"Music painting toys")</f>
        <v>Music painting toys</v>
      </c>
      <c r="I459" s="3" t="str">
        <f ca="1">IFERROR(__xludf.DUMMYFUNCTION("GOOGLETRANSLATE(C459,""auto"",""en"")"),"Musical Instrument Set")</f>
        <v>Musical Instrument Set</v>
      </c>
    </row>
    <row r="460" spans="1:9" ht="13" x14ac:dyDescent="0.15">
      <c r="A460" s="2" t="s">
        <v>383</v>
      </c>
      <c r="B460" s="2" t="s">
        <v>470</v>
      </c>
      <c r="C460" s="2" t="s">
        <v>479</v>
      </c>
      <c r="D460" s="3">
        <v>1607987</v>
      </c>
      <c r="E460" s="3">
        <v>105960</v>
      </c>
      <c r="F460" s="3">
        <v>214</v>
      </c>
      <c r="G460" s="3" t="s">
        <v>386</v>
      </c>
      <c r="H460" s="3" t="str">
        <f ca="1">IFERROR(__xludf.DUMMYFUNCTION("GOOGLETRANSLATE(B460,""auto"",""en"")"),"Music painting toys")</f>
        <v>Music painting toys</v>
      </c>
      <c r="I460" s="3" t="str">
        <f ca="1">IFERROR(__xludf.DUMMYFUNCTION("GOOGLETRANSLATE(C460,""auto"",""en"")"),"Music microphone")</f>
        <v>Music microphone</v>
      </c>
    </row>
    <row r="461" spans="1:9" ht="13" x14ac:dyDescent="0.15">
      <c r="A461" s="2" t="s">
        <v>383</v>
      </c>
      <c r="B461" s="2" t="s">
        <v>470</v>
      </c>
      <c r="C461" s="2" t="s">
        <v>480</v>
      </c>
      <c r="D461" s="3">
        <v>1607987</v>
      </c>
      <c r="E461" s="3">
        <v>105960</v>
      </c>
      <c r="F461" s="3">
        <v>167</v>
      </c>
      <c r="G461" s="3" t="s">
        <v>386</v>
      </c>
      <c r="H461" s="3" t="str">
        <f ca="1">IFERROR(__xludf.DUMMYFUNCTION("GOOGLETRANSLATE(B461,""auto"",""en"")"),"Music painting toys")</f>
        <v>Music painting toys</v>
      </c>
      <c r="I461" s="3" t="str">
        <f ca="1">IFERROR(__xludf.DUMMYFUNCTION("GOOGLETRANSLATE(C461,""auto"",""en"")"),"Music Phone")</f>
        <v>Music Phone</v>
      </c>
    </row>
    <row r="462" spans="1:9" ht="13" x14ac:dyDescent="0.15">
      <c r="A462" s="2" t="s">
        <v>383</v>
      </c>
      <c r="B462" s="2" t="s">
        <v>470</v>
      </c>
      <c r="C462" s="2" t="s">
        <v>481</v>
      </c>
      <c r="D462" s="3">
        <v>1607987</v>
      </c>
      <c r="E462" s="3">
        <v>105960</v>
      </c>
      <c r="F462" s="3">
        <v>155</v>
      </c>
      <c r="G462" s="3" t="s">
        <v>386</v>
      </c>
      <c r="H462" s="3" t="str">
        <f ca="1">IFERROR(__xludf.DUMMYFUNCTION("GOOGLETRANSLATE(B462,""auto"",""en"")"),"Music painting toys")</f>
        <v>Music painting toys</v>
      </c>
      <c r="I462" s="3" t="str">
        <f ca="1">IFERROR(__xludf.DUMMYFUNCTION("GOOGLETRANSLATE(C462,""auto"",""en"")"),"Playing toys")</f>
        <v>Playing toys</v>
      </c>
    </row>
    <row r="463" spans="1:9" ht="13" x14ac:dyDescent="0.15">
      <c r="A463" s="2" t="s">
        <v>383</v>
      </c>
      <c r="B463" s="2" t="s">
        <v>470</v>
      </c>
      <c r="C463" s="2" t="s">
        <v>482</v>
      </c>
      <c r="D463" s="3">
        <v>1607987</v>
      </c>
      <c r="E463" s="3">
        <v>105960</v>
      </c>
      <c r="F463" s="3">
        <v>55</v>
      </c>
      <c r="G463" s="3" t="s">
        <v>386</v>
      </c>
      <c r="H463" s="3" t="str">
        <f ca="1">IFERROR(__xludf.DUMMYFUNCTION("GOOGLETRANSLATE(B463,""auto"",""en"")"),"Music painting toys")</f>
        <v>Music painting toys</v>
      </c>
      <c r="I463" s="3" t="str">
        <f ca="1">IFERROR(__xludf.DUMMYFUNCTION("GOOGLETRANSLATE(C463,""auto"",""en"")"),"Other musical toys")</f>
        <v>Other musical toys</v>
      </c>
    </row>
    <row r="464" spans="1:9" ht="13" x14ac:dyDescent="0.15">
      <c r="A464" s="2" t="s">
        <v>383</v>
      </c>
      <c r="B464" s="2" t="s">
        <v>470</v>
      </c>
      <c r="C464" s="2" t="s">
        <v>483</v>
      </c>
      <c r="D464" s="3">
        <v>1607987</v>
      </c>
      <c r="E464" s="3">
        <v>105960</v>
      </c>
      <c r="F464" s="3">
        <v>47</v>
      </c>
      <c r="G464" s="3" t="s">
        <v>386</v>
      </c>
      <c r="H464" s="3" t="str">
        <f ca="1">IFERROR(__xludf.DUMMYFUNCTION("GOOGLETRANSLATE(B464,""auto"",""en"")"),"Music painting toys")</f>
        <v>Music painting toys</v>
      </c>
      <c r="I464" s="3" t="str">
        <f ca="1">IFERROR(__xludf.DUMMYFUNCTION("GOOGLETRANSLATE(C464,""auto"",""en"")"),"Toy violin")</f>
        <v>Toy violin</v>
      </c>
    </row>
    <row r="465" spans="1:9" ht="13" x14ac:dyDescent="0.15">
      <c r="A465" s="2" t="s">
        <v>383</v>
      </c>
      <c r="B465" s="2" t="s">
        <v>470</v>
      </c>
      <c r="C465" s="2" t="s">
        <v>484</v>
      </c>
      <c r="D465" s="3">
        <v>1607987</v>
      </c>
      <c r="E465" s="3">
        <v>105960</v>
      </c>
      <c r="F465" s="3">
        <v>45</v>
      </c>
      <c r="G465" s="3" t="s">
        <v>386</v>
      </c>
      <c r="H465" s="3" t="str">
        <f ca="1">IFERROR(__xludf.DUMMYFUNCTION("GOOGLETRANSLATE(B465,""auto"",""en"")"),"Music painting toys")</f>
        <v>Music painting toys</v>
      </c>
      <c r="I465" s="3" t="str">
        <f ca="1">IFERROR(__xludf.DUMMYFUNCTION("GOOGLETRANSLATE(C465,""auto"",""en"")"),"Toy Piano")</f>
        <v>Toy Piano</v>
      </c>
    </row>
    <row r="466" spans="1:9" ht="13" x14ac:dyDescent="0.15">
      <c r="A466" s="2" t="s">
        <v>383</v>
      </c>
      <c r="B466" s="2" t="s">
        <v>470</v>
      </c>
      <c r="C466" s="2" t="s">
        <v>485</v>
      </c>
      <c r="D466" s="3">
        <v>1607987</v>
      </c>
      <c r="E466" s="3">
        <v>105960</v>
      </c>
      <c r="F466" s="3">
        <v>16</v>
      </c>
      <c r="G466" s="3" t="s">
        <v>386</v>
      </c>
      <c r="H466" s="3" t="str">
        <f ca="1">IFERROR(__xludf.DUMMYFUNCTION("GOOGLETRANSLATE(B466,""auto"",""en"")"),"Music painting toys")</f>
        <v>Music painting toys</v>
      </c>
      <c r="I466" s="3" t="str">
        <f ca="1">IFERROR(__xludf.DUMMYFUNCTION("GOOGLETRANSLATE(C466,""auto"",""en"")"),"Bell musical instruments")</f>
        <v>Bell musical instruments</v>
      </c>
    </row>
    <row r="467" spans="1:9" ht="13" x14ac:dyDescent="0.15">
      <c r="A467" s="2" t="s">
        <v>383</v>
      </c>
      <c r="B467" s="2" t="s">
        <v>470</v>
      </c>
      <c r="C467" s="2" t="s">
        <v>486</v>
      </c>
      <c r="D467" s="3">
        <v>1607987</v>
      </c>
      <c r="E467" s="3">
        <v>105960</v>
      </c>
      <c r="F467" s="3">
        <v>12</v>
      </c>
      <c r="G467" s="3" t="s">
        <v>386</v>
      </c>
      <c r="H467" s="3" t="str">
        <f ca="1">IFERROR(__xludf.DUMMYFUNCTION("GOOGLETRANSLATE(B467,""auto"",""en"")"),"Music painting toys")</f>
        <v>Music painting toys</v>
      </c>
      <c r="I467" s="3" t="str">
        <f ca="1">IFERROR(__xludf.DUMMYFUNCTION("GOOGLETRANSLATE(C467,""auto"",""en"")"),"Sand Hammer / maracas")</f>
        <v>Sand Hammer / maracas</v>
      </c>
    </row>
    <row r="468" spans="1:9" ht="13" x14ac:dyDescent="0.15">
      <c r="A468" s="2" t="s">
        <v>383</v>
      </c>
      <c r="B468" s="2" t="s">
        <v>470</v>
      </c>
      <c r="C468" s="2" t="s">
        <v>487</v>
      </c>
      <c r="D468" s="3">
        <v>1607987</v>
      </c>
      <c r="E468" s="3">
        <v>105960</v>
      </c>
      <c r="F468" s="3">
        <v>1</v>
      </c>
      <c r="G468" s="3" t="s">
        <v>386</v>
      </c>
      <c r="H468" s="3" t="str">
        <f ca="1">IFERROR(__xludf.DUMMYFUNCTION("GOOGLETRANSLATE(B468,""auto"",""en"")"),"Music painting toys")</f>
        <v>Music painting toys</v>
      </c>
      <c r="I468" s="3" t="str">
        <f ca="1">IFERROR(__xludf.DUMMYFUNCTION("GOOGLETRANSLATE(C468,""auto"",""en"")"),"Music Box")</f>
        <v>Music Box</v>
      </c>
    </row>
    <row r="469" spans="1:9" ht="13" x14ac:dyDescent="0.15">
      <c r="A469" s="2" t="s">
        <v>383</v>
      </c>
      <c r="B469" s="2" t="s">
        <v>488</v>
      </c>
      <c r="C469" s="2" t="s">
        <v>489</v>
      </c>
      <c r="D469" s="3">
        <v>1607987</v>
      </c>
      <c r="E469" s="3">
        <v>70445</v>
      </c>
      <c r="F469" s="3">
        <v>43267</v>
      </c>
      <c r="G469" s="3" t="s">
        <v>386</v>
      </c>
      <c r="H469" s="3" t="str">
        <f ca="1">IFERROR(__xludf.DUMMYFUNCTION("GOOGLETRANSLATE(B469,""auto"",""en"")"),"Other Toys Style")</f>
        <v>Other Toys Style</v>
      </c>
      <c r="I469" s="3" t="str">
        <f ca="1">IFERROR(__xludf.DUMMYFUNCTION("GOOGLETRANSLATE(C469,""auto"",""en"")"),"Other Toys")</f>
        <v>Other Toys</v>
      </c>
    </row>
    <row r="470" spans="1:9" ht="13" x14ac:dyDescent="0.15">
      <c r="A470" s="2" t="s">
        <v>383</v>
      </c>
      <c r="B470" s="2" t="s">
        <v>488</v>
      </c>
      <c r="C470" s="2" t="s">
        <v>490</v>
      </c>
      <c r="D470" s="3">
        <v>1607987</v>
      </c>
      <c r="E470" s="3">
        <v>70445</v>
      </c>
      <c r="F470" s="3">
        <v>27167</v>
      </c>
      <c r="G470" s="3" t="s">
        <v>386</v>
      </c>
      <c r="H470" s="3" t="str">
        <f ca="1">IFERROR(__xludf.DUMMYFUNCTION("GOOGLETRANSLATE(B470,""auto"",""en"")"),"Other Toys Style")</f>
        <v>Other Toys Style</v>
      </c>
      <c r="I470" s="3" t="str">
        <f ca="1">IFERROR(__xludf.DUMMYFUNCTION("GOOGLETRANSLATE(C470,""auto"",""en"")"),"Other style")</f>
        <v>Other style</v>
      </c>
    </row>
    <row r="471" spans="1:9" ht="13" x14ac:dyDescent="0.15">
      <c r="A471" s="2" t="s">
        <v>383</v>
      </c>
      <c r="B471" s="2" t="s">
        <v>488</v>
      </c>
      <c r="C471" s="2" t="s">
        <v>491</v>
      </c>
      <c r="D471" s="3">
        <v>1607987</v>
      </c>
      <c r="E471" s="3">
        <v>70445</v>
      </c>
      <c r="F471" s="3">
        <v>11</v>
      </c>
      <c r="G471" s="3" t="s">
        <v>386</v>
      </c>
      <c r="H471" s="3" t="str">
        <f ca="1">IFERROR(__xludf.DUMMYFUNCTION("GOOGLETRANSLATE(B471,""auto"",""en"")"),"Other Toys Style")</f>
        <v>Other Toys Style</v>
      </c>
      <c r="I471" s="3" t="str">
        <f ca="1">IFERROR(__xludf.DUMMYFUNCTION("GOOGLETRANSLATE(C471,""auto"",""en"")"),"books")</f>
        <v>books</v>
      </c>
    </row>
    <row r="472" spans="1:9" ht="13" x14ac:dyDescent="0.15">
      <c r="A472" s="2" t="s">
        <v>383</v>
      </c>
      <c r="B472" s="2" t="s">
        <v>492</v>
      </c>
      <c r="C472" s="2" t="s">
        <v>493</v>
      </c>
      <c r="D472" s="3">
        <v>1607987</v>
      </c>
      <c r="E472" s="3">
        <v>64825</v>
      </c>
      <c r="F472" s="3">
        <v>25129</v>
      </c>
      <c r="G472" s="3" t="s">
        <v>386</v>
      </c>
      <c r="H472" s="3" t="str">
        <f ca="1">IFERROR(__xludf.DUMMYFUNCTION("GOOGLETRANSLATE(B472,""auto"",""en"")"),"Children schoolbag / backpack / Stationery")</f>
        <v>Children schoolbag / backpack / Stationery</v>
      </c>
      <c r="I472" s="3" t="str">
        <f ca="1">IFERROR(__xludf.DUMMYFUNCTION("GOOGLETRANSLATE(C472,""auto"",""en"")"),"Stationery Gift / Painting Set")</f>
        <v>Stationery Gift / Painting Set</v>
      </c>
    </row>
    <row r="473" spans="1:9" ht="13" x14ac:dyDescent="0.15">
      <c r="A473" s="2" t="s">
        <v>383</v>
      </c>
      <c r="B473" s="2" t="s">
        <v>492</v>
      </c>
      <c r="C473" s="2" t="s">
        <v>494</v>
      </c>
      <c r="D473" s="3">
        <v>1607987</v>
      </c>
      <c r="E473" s="3">
        <v>64825</v>
      </c>
      <c r="F473" s="3">
        <v>14409</v>
      </c>
      <c r="G473" s="3" t="s">
        <v>386</v>
      </c>
      <c r="H473" s="3" t="str">
        <f ca="1">IFERROR(__xludf.DUMMYFUNCTION("GOOGLETRANSLATE(B473,""auto"",""en"")"),"Children schoolbag / backpack / Stationery")</f>
        <v>Children schoolbag / backpack / Stationery</v>
      </c>
      <c r="I473" s="3" t="str">
        <f ca="1">IFERROR(__xludf.DUMMYFUNCTION("GOOGLETRANSLATE(C473,""auto"",""en"")"),"Miaohong this / coloring book")</f>
        <v>Miaohong this / coloring book</v>
      </c>
    </row>
    <row r="474" spans="1:9" ht="13" x14ac:dyDescent="0.15">
      <c r="A474" s="2" t="s">
        <v>383</v>
      </c>
      <c r="B474" s="2" t="s">
        <v>492</v>
      </c>
      <c r="C474" s="2" t="s">
        <v>495</v>
      </c>
      <c r="D474" s="3">
        <v>1607987</v>
      </c>
      <c r="E474" s="3">
        <v>64825</v>
      </c>
      <c r="F474" s="3">
        <v>10768</v>
      </c>
      <c r="G474" s="3" t="s">
        <v>386</v>
      </c>
      <c r="H474" s="3" t="str">
        <f ca="1">IFERROR(__xludf.DUMMYFUNCTION("GOOGLETRANSLATE(B474,""auto"",""en"")"),"Children schoolbag / backpack / Stationery")</f>
        <v>Children schoolbag / backpack / Stationery</v>
      </c>
      <c r="I474" s="3" t="str">
        <f ca="1">IFERROR(__xludf.DUMMYFUNCTION("GOOGLETRANSLATE(C474,""auto"",""en"")"),"school bag")</f>
        <v>school bag</v>
      </c>
    </row>
    <row r="475" spans="1:9" ht="13" x14ac:dyDescent="0.15">
      <c r="A475" s="2" t="s">
        <v>383</v>
      </c>
      <c r="B475" s="2" t="s">
        <v>492</v>
      </c>
      <c r="C475" s="2" t="s">
        <v>496</v>
      </c>
      <c r="D475" s="3">
        <v>1607987</v>
      </c>
      <c r="E475" s="3">
        <v>64825</v>
      </c>
      <c r="F475" s="3">
        <v>6110</v>
      </c>
      <c r="G475" s="3" t="s">
        <v>386</v>
      </c>
      <c r="H475" s="3" t="str">
        <f ca="1">IFERROR(__xludf.DUMMYFUNCTION("GOOGLETRANSLATE(B475,""auto"",""en"")"),"Children schoolbag / backpack / Stationery")</f>
        <v>Children schoolbag / backpack / Stationery</v>
      </c>
      <c r="I475" s="3" t="str">
        <f ca="1">IFERROR(__xludf.DUMMYFUNCTION("GOOGLETRANSLATE(C475,""auto"",""en"")"),"Professional painting tools / calligraphy supplies")</f>
        <v>Professional painting tools / calligraphy supplies</v>
      </c>
    </row>
    <row r="476" spans="1:9" ht="13" x14ac:dyDescent="0.15">
      <c r="A476" s="2" t="s">
        <v>383</v>
      </c>
      <c r="B476" s="2" t="s">
        <v>492</v>
      </c>
      <c r="C476" s="2" t="s">
        <v>497</v>
      </c>
      <c r="D476" s="3">
        <v>1607987</v>
      </c>
      <c r="E476" s="3">
        <v>64825</v>
      </c>
      <c r="F476" s="3">
        <v>4109</v>
      </c>
      <c r="G476" s="3" t="s">
        <v>386</v>
      </c>
      <c r="H476" s="3" t="str">
        <f ca="1">IFERROR(__xludf.DUMMYFUNCTION("GOOGLETRANSLATE(B476,""auto"",""en"")"),"Children schoolbag / backpack / Stationery")</f>
        <v>Children schoolbag / backpack / Stationery</v>
      </c>
      <c r="I476" s="3" t="str">
        <f ca="1">IFERROR(__xludf.DUMMYFUNCTION("GOOGLETRANSLATE(C476,""auto"",""en"")"),"Pens")</f>
        <v>Pens</v>
      </c>
    </row>
    <row r="477" spans="1:9" ht="13" x14ac:dyDescent="0.15">
      <c r="A477" s="2" t="s">
        <v>383</v>
      </c>
      <c r="B477" s="2" t="s">
        <v>492</v>
      </c>
      <c r="C477" s="2" t="s">
        <v>498</v>
      </c>
      <c r="D477" s="3">
        <v>1607987</v>
      </c>
      <c r="E477" s="3">
        <v>64825</v>
      </c>
      <c r="F477" s="3">
        <v>645</v>
      </c>
      <c r="G477" s="3" t="s">
        <v>386</v>
      </c>
      <c r="H477" s="3" t="str">
        <f ca="1">IFERROR(__xludf.DUMMYFUNCTION("GOOGLETRANSLATE(B477,""auto"",""en"")"),"Children schoolbag / backpack / Stationery")</f>
        <v>Children schoolbag / backpack / Stationery</v>
      </c>
      <c r="I477" s="3" t="str">
        <f ca="1">IFERROR(__xludf.DUMMYFUNCTION("GOOGLETRANSLATE(C477,""auto"",""en"")"),"Messenger bag / purse")</f>
        <v>Messenger bag / purse</v>
      </c>
    </row>
    <row r="478" spans="1:9" ht="13" x14ac:dyDescent="0.15">
      <c r="A478" s="2" t="s">
        <v>383</v>
      </c>
      <c r="B478" s="2" t="s">
        <v>492</v>
      </c>
      <c r="C478" s="2" t="s">
        <v>499</v>
      </c>
      <c r="D478" s="3">
        <v>1607987</v>
      </c>
      <c r="E478" s="3">
        <v>64825</v>
      </c>
      <c r="F478" s="3">
        <v>593</v>
      </c>
      <c r="G478" s="3" t="s">
        <v>386</v>
      </c>
      <c r="H478" s="3" t="str">
        <f ca="1">IFERROR(__xludf.DUMMYFUNCTION("GOOGLETRANSLATE(B478,""auto"",""en"")"),"Children schoolbag / backpack / Stationery")</f>
        <v>Children schoolbag / backpack / Stationery</v>
      </c>
      <c r="I478" s="3" t="str">
        <f ca="1">IFERROR(__xludf.DUMMYFUNCTION("GOOGLETRANSLATE(C478,""auto"",""en"")"),"Mathematics learning board / computing rack")</f>
        <v>Mathematics learning board / computing rack</v>
      </c>
    </row>
    <row r="479" spans="1:9" ht="13" x14ac:dyDescent="0.15">
      <c r="A479" s="2" t="s">
        <v>383</v>
      </c>
      <c r="B479" s="2" t="s">
        <v>492</v>
      </c>
      <c r="C479" s="2" t="s">
        <v>500</v>
      </c>
      <c r="D479" s="3">
        <v>1607987</v>
      </c>
      <c r="E479" s="3">
        <v>64825</v>
      </c>
      <c r="F479" s="3">
        <v>496</v>
      </c>
      <c r="G479" s="3" t="s">
        <v>386</v>
      </c>
      <c r="H479" s="3" t="str">
        <f ca="1">IFERROR(__xludf.DUMMYFUNCTION("GOOGLETRANSLATE(B479,""auto"",""en"")"),"Children schoolbag / backpack / Stationery")</f>
        <v>Children schoolbag / backpack / Stationery</v>
      </c>
      <c r="I479" s="3" t="str">
        <f ca="1">IFERROR(__xludf.DUMMYFUNCTION("GOOGLETRANSLATE(C479,""auto"",""en"")"),"Cartoon eraser")</f>
        <v>Cartoon eraser</v>
      </c>
    </row>
    <row r="480" spans="1:9" ht="13" x14ac:dyDescent="0.15">
      <c r="A480" s="2" t="s">
        <v>383</v>
      </c>
      <c r="B480" s="2" t="s">
        <v>492</v>
      </c>
      <c r="C480" s="2" t="s">
        <v>501</v>
      </c>
      <c r="D480" s="3">
        <v>1607987</v>
      </c>
      <c r="E480" s="3">
        <v>64825</v>
      </c>
      <c r="F480" s="3">
        <v>436</v>
      </c>
      <c r="G480" s="3" t="s">
        <v>386</v>
      </c>
      <c r="H480" s="3" t="str">
        <f ca="1">IFERROR(__xludf.DUMMYFUNCTION("GOOGLETRANSLATE(B480,""auto"",""en"")"),"Children schoolbag / backpack / Stationery")</f>
        <v>Children schoolbag / backpack / Stationery</v>
      </c>
      <c r="I480" s="3" t="str">
        <f ca="1">IFERROR(__xludf.DUMMYFUNCTION("GOOGLETRANSLATE(C480,""auto"",""en"")"),"Pencil")</f>
        <v>Pencil</v>
      </c>
    </row>
    <row r="481" spans="1:9" ht="13" x14ac:dyDescent="0.15">
      <c r="A481" s="2" t="s">
        <v>383</v>
      </c>
      <c r="B481" s="2" t="s">
        <v>492</v>
      </c>
      <c r="C481" s="2" t="s">
        <v>502</v>
      </c>
      <c r="D481" s="3">
        <v>1607987</v>
      </c>
      <c r="E481" s="3">
        <v>64825</v>
      </c>
      <c r="F481" s="3">
        <v>408</v>
      </c>
      <c r="G481" s="3" t="s">
        <v>386</v>
      </c>
      <c r="H481" s="3" t="str">
        <f ca="1">IFERROR(__xludf.DUMMYFUNCTION("GOOGLETRANSLATE(B481,""auto"",""en"")"),"Children schoolbag / backpack / Stationery")</f>
        <v>Children schoolbag / backpack / Stationery</v>
      </c>
      <c r="I481" s="3" t="str">
        <f ca="1">IFERROR(__xludf.DUMMYFUNCTION("GOOGLETRANSLATE(C481,""auto"",""en"")"),"Pencil sharpener / pencil sharpener")</f>
        <v>Pencil sharpener / pencil sharpener</v>
      </c>
    </row>
    <row r="482" spans="1:9" ht="13" x14ac:dyDescent="0.15">
      <c r="A482" s="2" t="s">
        <v>383</v>
      </c>
      <c r="B482" s="2" t="s">
        <v>492</v>
      </c>
      <c r="C482" s="2" t="s">
        <v>503</v>
      </c>
      <c r="D482" s="3">
        <v>1607987</v>
      </c>
      <c r="E482" s="3">
        <v>64825</v>
      </c>
      <c r="F482" s="3">
        <v>339</v>
      </c>
      <c r="G482" s="3" t="s">
        <v>386</v>
      </c>
      <c r="H482" s="3" t="str">
        <f ca="1">IFERROR(__xludf.DUMMYFUNCTION("GOOGLETRANSLATE(B482,""auto"",""en"")"),"Children schoolbag / backpack / Stationery")</f>
        <v>Children schoolbag / backpack / Stationery</v>
      </c>
      <c r="I482" s="3" t="str">
        <f ca="1">IFERROR(__xludf.DUMMYFUNCTION("GOOGLETRANSLATE(C482,""auto"",""en"")"),"Writing case")</f>
        <v>Writing case</v>
      </c>
    </row>
    <row r="483" spans="1:9" ht="13" x14ac:dyDescent="0.15">
      <c r="A483" s="2" t="s">
        <v>383</v>
      </c>
      <c r="B483" s="2" t="s">
        <v>492</v>
      </c>
      <c r="C483" s="2" t="s">
        <v>504</v>
      </c>
      <c r="D483" s="3">
        <v>1607987</v>
      </c>
      <c r="E483" s="3">
        <v>64825</v>
      </c>
      <c r="F483" s="3">
        <v>312</v>
      </c>
      <c r="G483" s="3" t="s">
        <v>386</v>
      </c>
      <c r="H483" s="3" t="str">
        <f ca="1">IFERROR(__xludf.DUMMYFUNCTION("GOOGLETRANSLATE(B483,""auto"",""en"")"),"Children schoolbag / backpack / Stationery")</f>
        <v>Children schoolbag / backpack / Stationery</v>
      </c>
      <c r="I483" s="3" t="str">
        <f ca="1">IFERROR(__xludf.DUMMYFUNCTION("GOOGLETRANSLATE(C483,""auto"",""en"")"),"Other Stationery")</f>
        <v>Other Stationery</v>
      </c>
    </row>
    <row r="484" spans="1:9" ht="13" x14ac:dyDescent="0.15">
      <c r="A484" s="2" t="s">
        <v>383</v>
      </c>
      <c r="B484" s="2" t="s">
        <v>492</v>
      </c>
      <c r="C484" s="2" t="s">
        <v>505</v>
      </c>
      <c r="D484" s="3">
        <v>1607987</v>
      </c>
      <c r="E484" s="3">
        <v>64825</v>
      </c>
      <c r="F484" s="3">
        <v>295</v>
      </c>
      <c r="G484" s="3" t="s">
        <v>386</v>
      </c>
      <c r="H484" s="3" t="str">
        <f ca="1">IFERROR(__xludf.DUMMYFUNCTION("GOOGLETRANSLATE(B484,""auto"",""en"")"),"Children schoolbag / backpack / Stationery")</f>
        <v>Children schoolbag / backpack / Stationery</v>
      </c>
      <c r="I484" s="3" t="str">
        <f ca="1">IFERROR(__xludf.DUMMYFUNCTION("GOOGLETRANSLATE(C484,""auto"",""en"")"),"Notebook / notepad")</f>
        <v>Notebook / notepad</v>
      </c>
    </row>
    <row r="485" spans="1:9" ht="13" x14ac:dyDescent="0.15">
      <c r="A485" s="2" t="s">
        <v>383</v>
      </c>
      <c r="B485" s="2" t="s">
        <v>492</v>
      </c>
      <c r="C485" s="2" t="s">
        <v>506</v>
      </c>
      <c r="D485" s="3">
        <v>1607987</v>
      </c>
      <c r="E485" s="3">
        <v>64825</v>
      </c>
      <c r="F485" s="3">
        <v>207</v>
      </c>
      <c r="G485" s="3" t="s">
        <v>386</v>
      </c>
      <c r="H485" s="3" t="str">
        <f ca="1">IFERROR(__xludf.DUMMYFUNCTION("GOOGLETRANSLATE(B485,""auto"",""en"")"),"Children schoolbag / backpack / Stationery")</f>
        <v>Children schoolbag / backpack / Stationery</v>
      </c>
      <c r="I485" s="3" t="str">
        <f ca="1">IFERROR(__xludf.DUMMYFUNCTION("GOOGLETRANSLATE(C485,""auto"",""en"")"),"Sitting braces")</f>
        <v>Sitting braces</v>
      </c>
    </row>
    <row r="486" spans="1:9" ht="13" x14ac:dyDescent="0.15">
      <c r="A486" s="2" t="s">
        <v>383</v>
      </c>
      <c r="B486" s="2" t="s">
        <v>492</v>
      </c>
      <c r="C486" s="2" t="s">
        <v>507</v>
      </c>
      <c r="D486" s="3">
        <v>1607987</v>
      </c>
      <c r="E486" s="3">
        <v>64825</v>
      </c>
      <c r="F486" s="3">
        <v>127</v>
      </c>
      <c r="G486" s="3" t="s">
        <v>386</v>
      </c>
      <c r="H486" s="3" t="str">
        <f ca="1">IFERROR(__xludf.DUMMYFUNCTION("GOOGLETRANSLATE(B486,""auto"",""en"")"),"Children schoolbag / backpack / Stationery")</f>
        <v>Children schoolbag / backpack / Stationery</v>
      </c>
      <c r="I486" s="3" t="str">
        <f ca="1">IFERROR(__xludf.DUMMYFUNCTION("GOOGLETRANSLATE(C486,""auto"",""en"")"),"Coin Purse")</f>
        <v>Coin Purse</v>
      </c>
    </row>
    <row r="487" spans="1:9" ht="13" x14ac:dyDescent="0.15">
      <c r="A487" s="2" t="s">
        <v>383</v>
      </c>
      <c r="B487" s="2" t="s">
        <v>492</v>
      </c>
      <c r="C487" s="2" t="s">
        <v>508</v>
      </c>
      <c r="D487" s="3">
        <v>1607987</v>
      </c>
      <c r="E487" s="3">
        <v>64825</v>
      </c>
      <c r="F487" s="3">
        <v>109</v>
      </c>
      <c r="G487" s="3" t="s">
        <v>386</v>
      </c>
      <c r="H487" s="3" t="str">
        <f ca="1">IFERROR(__xludf.DUMMYFUNCTION("GOOGLETRANSLATE(B487,""auto"",""en"")"),"Children schoolbag / backpack / Stationery")</f>
        <v>Children schoolbag / backpack / Stationery</v>
      </c>
      <c r="I487" s="3" t="str">
        <f ca="1">IFERROR(__xludf.DUMMYFUNCTION("GOOGLETRANSLATE(C487,""auto"",""en"")"),"Storing school supplies")</f>
        <v>Storing school supplies</v>
      </c>
    </row>
    <row r="488" spans="1:9" ht="13" x14ac:dyDescent="0.15">
      <c r="A488" s="2" t="s">
        <v>383</v>
      </c>
      <c r="B488" s="2" t="s">
        <v>492</v>
      </c>
      <c r="C488" s="2" t="s">
        <v>509</v>
      </c>
      <c r="D488" s="3">
        <v>1607987</v>
      </c>
      <c r="E488" s="3">
        <v>64825</v>
      </c>
      <c r="F488" s="3">
        <v>104</v>
      </c>
      <c r="G488" s="3" t="s">
        <v>386</v>
      </c>
      <c r="H488" s="3" t="str">
        <f ca="1">IFERROR(__xludf.DUMMYFUNCTION("GOOGLETRANSLATE(B488,""auto"",""en"")"),"Children schoolbag / backpack / Stationery")</f>
        <v>Children schoolbag / backpack / Stationery</v>
      </c>
      <c r="I488" s="3" t="str">
        <f ca="1">IFERROR(__xludf.DUMMYFUNCTION("GOOGLETRANSLATE(C488,""auto"",""en"")"),"Eye Care Products")</f>
        <v>Eye Care Products</v>
      </c>
    </row>
    <row r="489" spans="1:9" ht="13" x14ac:dyDescent="0.15">
      <c r="A489" s="2" t="s">
        <v>383</v>
      </c>
      <c r="B489" s="2" t="s">
        <v>492</v>
      </c>
      <c r="C489" s="2" t="s">
        <v>510</v>
      </c>
      <c r="D489" s="3">
        <v>1607987</v>
      </c>
      <c r="E489" s="3">
        <v>64825</v>
      </c>
      <c r="F489" s="3">
        <v>97</v>
      </c>
      <c r="G489" s="3" t="s">
        <v>386</v>
      </c>
      <c r="H489" s="3" t="str">
        <f ca="1">IFERROR(__xludf.DUMMYFUNCTION("GOOGLETRANSLATE(B489,""auto"",""en"")"),"Children schoolbag / backpack / Stationery")</f>
        <v>Children schoolbag / backpack / Stationery</v>
      </c>
      <c r="I489" s="3" t="str">
        <f ca="1">IFERROR(__xludf.DUMMYFUNCTION("GOOGLETRANSLATE(C489,""auto"",""en"")"),"Trolley Case")</f>
        <v>Trolley Case</v>
      </c>
    </row>
    <row r="490" spans="1:9" ht="13" x14ac:dyDescent="0.15">
      <c r="A490" s="2" t="s">
        <v>383</v>
      </c>
      <c r="B490" s="2" t="s">
        <v>492</v>
      </c>
      <c r="C490" s="2" t="s">
        <v>92</v>
      </c>
      <c r="D490" s="3">
        <v>1607987</v>
      </c>
      <c r="E490" s="3">
        <v>64825</v>
      </c>
      <c r="F490" s="3">
        <v>55</v>
      </c>
      <c r="G490" s="3" t="s">
        <v>386</v>
      </c>
      <c r="H490" s="3" t="str">
        <f ca="1">IFERROR(__xludf.DUMMYFUNCTION("GOOGLETRANSLATE(B490,""auto"",""en"")"),"Children schoolbag / backpack / Stationery")</f>
        <v>Children schoolbag / backpack / Stationery</v>
      </c>
      <c r="I490" s="3" t="str">
        <f ca="1">IFERROR(__xludf.DUMMYFUNCTION("GOOGLETRANSLATE(C490,""auto"",""en"")"),"other")</f>
        <v>other</v>
      </c>
    </row>
    <row r="491" spans="1:9" ht="13" x14ac:dyDescent="0.15">
      <c r="A491" s="2" t="s">
        <v>383</v>
      </c>
      <c r="B491" s="2" t="s">
        <v>492</v>
      </c>
      <c r="C491" s="2" t="s">
        <v>511</v>
      </c>
      <c r="D491" s="3">
        <v>1607987</v>
      </c>
      <c r="E491" s="3">
        <v>64825</v>
      </c>
      <c r="F491" s="3">
        <v>39</v>
      </c>
      <c r="G491" s="3" t="s">
        <v>386</v>
      </c>
      <c r="H491" s="3" t="str">
        <f ca="1">IFERROR(__xludf.DUMMYFUNCTION("GOOGLETRANSLATE(B491,""auto"",""en"")"),"Children schoolbag / backpack / Stationery")</f>
        <v>Children schoolbag / backpack / Stationery</v>
      </c>
      <c r="I491" s="3" t="str">
        <f ca="1">IFERROR(__xludf.DUMMYFUNCTION("GOOGLETRANSLATE(C491,""auto"",""en"")"),"file holder")</f>
        <v>file holder</v>
      </c>
    </row>
    <row r="492" spans="1:9" ht="13" x14ac:dyDescent="0.15">
      <c r="A492" s="2" t="s">
        <v>383</v>
      </c>
      <c r="B492" s="2" t="s">
        <v>492</v>
      </c>
      <c r="C492" s="2" t="s">
        <v>512</v>
      </c>
      <c r="D492" s="3">
        <v>1607987</v>
      </c>
      <c r="E492" s="3">
        <v>64825</v>
      </c>
      <c r="F492" s="3">
        <v>21</v>
      </c>
      <c r="G492" s="3" t="s">
        <v>386</v>
      </c>
      <c r="H492" s="3" t="str">
        <f ca="1">IFERROR(__xludf.DUMMYFUNCTION("GOOGLETRANSLATE(B492,""auto"",""en"")"),"Children schoolbag / backpack / Stationery")</f>
        <v>Children schoolbag / backpack / Stationery</v>
      </c>
      <c r="I492" s="3" t="str">
        <f ca="1">IFERROR(__xludf.DUMMYFUNCTION("GOOGLETRANSLATE(C492,""auto"",""en"")"),"Luggage / storage box")</f>
        <v>Luggage / storage box</v>
      </c>
    </row>
    <row r="493" spans="1:9" ht="13" x14ac:dyDescent="0.15">
      <c r="A493" s="2" t="s">
        <v>383</v>
      </c>
      <c r="B493" s="2" t="s">
        <v>492</v>
      </c>
      <c r="C493" s="2" t="s">
        <v>513</v>
      </c>
      <c r="D493" s="3">
        <v>1607987</v>
      </c>
      <c r="E493" s="3">
        <v>64825</v>
      </c>
      <c r="F493" s="3">
        <v>20</v>
      </c>
      <c r="G493" s="3" t="s">
        <v>386</v>
      </c>
      <c r="H493" s="3" t="str">
        <f ca="1">IFERROR(__xludf.DUMMYFUNCTION("GOOGLETRANSLATE(B493,""auto"",""en"")"),"Children schoolbag / backpack / Stationery")</f>
        <v>Children schoolbag / backpack / Stationery</v>
      </c>
      <c r="I493" s="3" t="str">
        <f ca="1">IFERROR(__xludf.DUMMYFUNCTION("GOOGLETRANSLATE(C493,""auto"",""en"")"),"Brush pot")</f>
        <v>Brush pot</v>
      </c>
    </row>
    <row r="494" spans="1:9" ht="13" x14ac:dyDescent="0.15">
      <c r="A494" s="2" t="s">
        <v>383</v>
      </c>
      <c r="B494" s="2" t="s">
        <v>514</v>
      </c>
      <c r="C494" s="2" t="s">
        <v>515</v>
      </c>
      <c r="D494" s="3">
        <v>1607987</v>
      </c>
      <c r="E494" s="3">
        <v>53401</v>
      </c>
      <c r="F494" s="3">
        <v>23908</v>
      </c>
      <c r="G494" s="3" t="s">
        <v>386</v>
      </c>
      <c r="H494" s="3" t="str">
        <f ca="1">IFERROR(__xludf.DUMMYFUNCTION("GOOGLETRANSLATE(B494,""auto"",""en"")"),"Electric / Remote / Inertia / Clockwork Toy")</f>
        <v>Electric / Remote / Inertia / Clockwork Toy</v>
      </c>
      <c r="I494" s="3" t="str">
        <f ca="1">IFERROR(__xludf.DUMMYFUNCTION("GOOGLETRANSLATE(C494,""auto"",""en"")"),"Clockwork toys")</f>
        <v>Clockwork toys</v>
      </c>
    </row>
    <row r="495" spans="1:9" ht="13" x14ac:dyDescent="0.15">
      <c r="A495" s="2" t="s">
        <v>383</v>
      </c>
      <c r="B495" s="2" t="s">
        <v>514</v>
      </c>
      <c r="C495" s="2" t="s">
        <v>516</v>
      </c>
      <c r="D495" s="3">
        <v>1607987</v>
      </c>
      <c r="E495" s="3">
        <v>53401</v>
      </c>
      <c r="F495" s="3">
        <v>17317</v>
      </c>
      <c r="G495" s="3" t="s">
        <v>386</v>
      </c>
      <c r="H495" s="3" t="str">
        <f ca="1">IFERROR(__xludf.DUMMYFUNCTION("GOOGLETRANSLATE(B495,""auto"",""en"")"),"Electric / Remote / Inertia / Clockwork Toy")</f>
        <v>Electric / Remote / Inertia / Clockwork Toy</v>
      </c>
      <c r="I495" s="3" t="str">
        <f ca="1">IFERROR(__xludf.DUMMYFUNCTION("GOOGLETRANSLATE(C495,""auto"",""en"")"),"INS / Pull back / slide toys")</f>
        <v>INS / Pull back / slide toys</v>
      </c>
    </row>
    <row r="496" spans="1:9" ht="13" x14ac:dyDescent="0.15">
      <c r="A496" s="2" t="s">
        <v>383</v>
      </c>
      <c r="B496" s="2" t="s">
        <v>514</v>
      </c>
      <c r="C496" s="2" t="s">
        <v>517</v>
      </c>
      <c r="D496" s="3">
        <v>1607987</v>
      </c>
      <c r="E496" s="3">
        <v>53401</v>
      </c>
      <c r="F496" s="3">
        <v>3991</v>
      </c>
      <c r="G496" s="3" t="s">
        <v>386</v>
      </c>
      <c r="H496" s="3" t="str">
        <f ca="1">IFERROR(__xludf.DUMMYFUNCTION("GOOGLETRANSLATE(B496,""auto"",""en"")"),"Electric / Remote / Inertia / Clockwork Toy")</f>
        <v>Electric / Remote / Inertia / Clockwork Toy</v>
      </c>
      <c r="I496" s="3" t="str">
        <f ca="1">IFERROR(__xludf.DUMMYFUNCTION("GOOGLETRANSLATE(C496,""auto"",""en"")"),"Remote control car")</f>
        <v>Remote control car</v>
      </c>
    </row>
    <row r="497" spans="1:9" ht="13" x14ac:dyDescent="0.15">
      <c r="A497" s="2" t="s">
        <v>383</v>
      </c>
      <c r="B497" s="2" t="s">
        <v>514</v>
      </c>
      <c r="C497" s="2" t="s">
        <v>518</v>
      </c>
      <c r="D497" s="3">
        <v>1607987</v>
      </c>
      <c r="E497" s="3">
        <v>53401</v>
      </c>
      <c r="F497" s="3">
        <v>3790</v>
      </c>
      <c r="G497" s="3" t="s">
        <v>386</v>
      </c>
      <c r="H497" s="3" t="str">
        <f ca="1">IFERROR(__xludf.DUMMYFUNCTION("GOOGLETRANSLATE(B497,""auto"",""en"")"),"Electric / Remote / Inertia / Clockwork Toy")</f>
        <v>Electric / Remote / Inertia / Clockwork Toy</v>
      </c>
      <c r="I497" s="3" t="str">
        <f ca="1">IFERROR(__xludf.DUMMYFUNCTION("GOOGLETRANSLATE(C497,""auto"",""en"")"),"Outside the remote control / device")</f>
        <v>Outside the remote control / device</v>
      </c>
    </row>
    <row r="498" spans="1:9" ht="13" x14ac:dyDescent="0.15">
      <c r="A498" s="2" t="s">
        <v>383</v>
      </c>
      <c r="B498" s="2" t="s">
        <v>514</v>
      </c>
      <c r="C498" s="2" t="s">
        <v>519</v>
      </c>
      <c r="D498" s="3">
        <v>1607987</v>
      </c>
      <c r="E498" s="3">
        <v>53401</v>
      </c>
      <c r="F498" s="3">
        <v>3245</v>
      </c>
      <c r="G498" s="3" t="s">
        <v>386</v>
      </c>
      <c r="H498" s="3" t="str">
        <f ca="1">IFERROR(__xludf.DUMMYFUNCTION("GOOGLETRANSLATE(B498,""auto"",""en"")"),"Electric / Remote / Inertia / Clockwork Toy")</f>
        <v>Electric / Remote / Inertia / Clockwork Toy</v>
      </c>
      <c r="I498" s="3" t="str">
        <f ca="1">IFERROR(__xludf.DUMMYFUNCTION("GOOGLETRANSLATE(C498,""auto"",""en"")"),"Remote control track")</f>
        <v>Remote control track</v>
      </c>
    </row>
    <row r="499" spans="1:9" ht="13" x14ac:dyDescent="0.15">
      <c r="A499" s="2" t="s">
        <v>383</v>
      </c>
      <c r="B499" s="2" t="s">
        <v>514</v>
      </c>
      <c r="C499" s="2" t="s">
        <v>520</v>
      </c>
      <c r="D499" s="3">
        <v>1607987</v>
      </c>
      <c r="E499" s="3">
        <v>53401</v>
      </c>
      <c r="F499" s="3">
        <v>547</v>
      </c>
      <c r="G499" s="3" t="s">
        <v>386</v>
      </c>
      <c r="H499" s="3" t="str">
        <f ca="1">IFERROR(__xludf.DUMMYFUNCTION("GOOGLETRANSLATE(B499,""auto"",""en"")"),"Electric / Remote / Inertia / Clockwork Toy")</f>
        <v>Electric / Remote / Inertia / Clockwork Toy</v>
      </c>
      <c r="I499" s="3" t="str">
        <f ca="1">IFERROR(__xludf.DUMMYFUNCTION("GOOGLETRANSLATE(C499,""auto"",""en"")"),"Four-wheel parts / tools")</f>
        <v>Four-wheel parts / tools</v>
      </c>
    </row>
    <row r="500" spans="1:9" ht="13" x14ac:dyDescent="0.15">
      <c r="A500" s="2" t="s">
        <v>383</v>
      </c>
      <c r="B500" s="2" t="s">
        <v>514</v>
      </c>
      <c r="C500" s="2" t="s">
        <v>521</v>
      </c>
      <c r="D500" s="3">
        <v>1607987</v>
      </c>
      <c r="E500" s="3">
        <v>53401</v>
      </c>
      <c r="F500" s="3">
        <v>351</v>
      </c>
      <c r="G500" s="3" t="s">
        <v>386</v>
      </c>
      <c r="H500" s="3" t="str">
        <f ca="1">IFERROR(__xludf.DUMMYFUNCTION("GOOGLETRANSLATE(B500,""auto"",""en"")"),"Electric / Remote / Inertia / Clockwork Toy")</f>
        <v>Electric / Remote / Inertia / Clockwork Toy</v>
      </c>
      <c r="I500" s="3" t="str">
        <f ca="1">IFERROR(__xludf.DUMMYFUNCTION("GOOGLETRANSLATE(C500,""auto"",""en"")"),"Remote control aircraft")</f>
        <v>Remote control aircraft</v>
      </c>
    </row>
    <row r="501" spans="1:9" ht="13" x14ac:dyDescent="0.15">
      <c r="A501" s="2" t="s">
        <v>383</v>
      </c>
      <c r="B501" s="2" t="s">
        <v>514</v>
      </c>
      <c r="C501" s="2" t="s">
        <v>522</v>
      </c>
      <c r="D501" s="3">
        <v>1607987</v>
      </c>
      <c r="E501" s="3">
        <v>53401</v>
      </c>
      <c r="F501" s="3">
        <v>143</v>
      </c>
      <c r="G501" s="3" t="s">
        <v>386</v>
      </c>
      <c r="H501" s="3" t="str">
        <f ca="1">IFERROR(__xludf.DUMMYFUNCTION("GOOGLETRANSLATE(B501,""auto"",""en"")"),"Electric / Remote / Inertia / Clockwork Toy")</f>
        <v>Electric / Remote / Inertia / Clockwork Toy</v>
      </c>
      <c r="I501" s="3" t="str">
        <f ca="1">IFERROR(__xludf.DUMMYFUNCTION("GOOGLETRANSLATE(C501,""auto"",""en"")"),"Helicopter")</f>
        <v>Helicopter</v>
      </c>
    </row>
    <row r="502" spans="1:9" ht="13" x14ac:dyDescent="0.15">
      <c r="A502" s="2" t="s">
        <v>383</v>
      </c>
      <c r="B502" s="2" t="s">
        <v>514</v>
      </c>
      <c r="C502" s="2" t="s">
        <v>523</v>
      </c>
      <c r="D502" s="3">
        <v>1607987</v>
      </c>
      <c r="E502" s="3">
        <v>53401</v>
      </c>
      <c r="F502" s="3">
        <v>54</v>
      </c>
      <c r="G502" s="3" t="s">
        <v>386</v>
      </c>
      <c r="H502" s="3" t="str">
        <f ca="1">IFERROR(__xludf.DUMMYFUNCTION("GOOGLETRANSLATE(B502,""auto"",""en"")"),"Electric / Remote / Inertia / Clockwork Toy")</f>
        <v>Electric / Remote / Inertia / Clockwork Toy</v>
      </c>
      <c r="I502" s="3" t="str">
        <f ca="1">IFERROR(__xludf.DUMMYFUNCTION("GOOGLETRANSLATE(C502,""auto"",""en"")"),"Creative / Tricky Toy")</f>
        <v>Creative / Tricky Toy</v>
      </c>
    </row>
    <row r="503" spans="1:9" ht="13" x14ac:dyDescent="0.15">
      <c r="A503" s="2" t="s">
        <v>383</v>
      </c>
      <c r="B503" s="2" t="s">
        <v>514</v>
      </c>
      <c r="C503" s="2" t="s">
        <v>524</v>
      </c>
      <c r="D503" s="3">
        <v>1607987</v>
      </c>
      <c r="E503" s="3">
        <v>53401</v>
      </c>
      <c r="F503" s="3">
        <v>41</v>
      </c>
      <c r="G503" s="3" t="s">
        <v>386</v>
      </c>
      <c r="H503" s="3" t="str">
        <f ca="1">IFERROR(__xludf.DUMMYFUNCTION("GOOGLETRANSLATE(B503,""auto"",""en"")"),"Electric / Remote / Inertia / Clockwork Toy")</f>
        <v>Electric / Remote / Inertia / Clockwork Toy</v>
      </c>
      <c r="I503" s="3" t="str">
        <f ca="1">IFERROR(__xludf.DUMMYFUNCTION("GOOGLETRANSLATE(C503,""auto"",""en"")"),"Remote control cars upgrade parts / accessories")</f>
        <v>Remote control cars upgrade parts / accessories</v>
      </c>
    </row>
    <row r="504" spans="1:9" ht="13" x14ac:dyDescent="0.15">
      <c r="A504" s="2" t="s">
        <v>383</v>
      </c>
      <c r="B504" s="2" t="s">
        <v>514</v>
      </c>
      <c r="C504" s="2" t="s">
        <v>525</v>
      </c>
      <c r="D504" s="3">
        <v>1607987</v>
      </c>
      <c r="E504" s="3">
        <v>53401</v>
      </c>
      <c r="F504" s="3">
        <v>11</v>
      </c>
      <c r="G504" s="3" t="s">
        <v>386</v>
      </c>
      <c r="H504" s="3" t="str">
        <f ca="1">IFERROR(__xludf.DUMMYFUNCTION("GOOGLETRANSLATE(B504,""auto"",""en"")"),"Electric / Remote / Inertia / Clockwork Toy")</f>
        <v>Electric / Remote / Inertia / Clockwork Toy</v>
      </c>
      <c r="I504" s="3" t="str">
        <f ca="1">IFERROR(__xludf.DUMMYFUNCTION("GOOGLETRANSLATE(C504,""auto"",""en"")"),"Remote Tank")</f>
        <v>Remote Tank</v>
      </c>
    </row>
    <row r="505" spans="1:9" ht="13" x14ac:dyDescent="0.15">
      <c r="A505" s="2" t="s">
        <v>383</v>
      </c>
      <c r="B505" s="2" t="s">
        <v>514</v>
      </c>
      <c r="C505" s="2" t="s">
        <v>526</v>
      </c>
      <c r="D505" s="3">
        <v>1607987</v>
      </c>
      <c r="E505" s="3">
        <v>53401</v>
      </c>
      <c r="F505" s="3">
        <v>4</v>
      </c>
      <c r="G505" s="3" t="s">
        <v>386</v>
      </c>
      <c r="H505" s="3" t="str">
        <f ca="1">IFERROR(__xludf.DUMMYFUNCTION("GOOGLETRANSLATE(B505,""auto"",""en"")"),"Electric / Remote / Inertia / Clockwork Toy")</f>
        <v>Electric / Remote / Inertia / Clockwork Toy</v>
      </c>
      <c r="I505" s="3" t="str">
        <f ca="1">IFERROR(__xludf.DUMMYFUNCTION("GOOGLETRANSLATE(C505,""auto"",""en"")"),"Remote Control Boat")</f>
        <v>Remote Control Boat</v>
      </c>
    </row>
    <row r="506" spans="1:9" ht="13" x14ac:dyDescent="0.15">
      <c r="A506" s="2" t="s">
        <v>383</v>
      </c>
      <c r="B506" s="2" t="s">
        <v>527</v>
      </c>
      <c r="C506" s="2" t="s">
        <v>528</v>
      </c>
      <c r="D506" s="3">
        <v>1607987</v>
      </c>
      <c r="E506" s="3">
        <v>44178</v>
      </c>
      <c r="F506" s="3">
        <v>20637</v>
      </c>
      <c r="G506" s="3" t="s">
        <v>386</v>
      </c>
      <c r="H506" s="3" t="str">
        <f ca="1">IFERROR(__xludf.DUMMYFUNCTION("GOOGLETRANSLATE(B506,""auto"",""en"")"),"Choi mud DIY simulation")</f>
        <v>Choi mud DIY simulation</v>
      </c>
      <c r="I506" s="3" t="str">
        <f ca="1">IFERROR(__xludf.DUMMYFUNCTION("GOOGLETRANSLATE(C506,""auto"",""en"")"),"Simulation animal doll")</f>
        <v>Simulation animal doll</v>
      </c>
    </row>
    <row r="507" spans="1:9" ht="13" x14ac:dyDescent="0.15">
      <c r="A507" s="2" t="s">
        <v>383</v>
      </c>
      <c r="B507" s="2" t="s">
        <v>527</v>
      </c>
      <c r="C507" s="2" t="s">
        <v>529</v>
      </c>
      <c r="D507" s="3">
        <v>1607987</v>
      </c>
      <c r="E507" s="3">
        <v>44178</v>
      </c>
      <c r="F507" s="3">
        <v>7904</v>
      </c>
      <c r="G507" s="3" t="s">
        <v>386</v>
      </c>
      <c r="H507" s="3" t="str">
        <f ca="1">IFERROR(__xludf.DUMMYFUNCTION("GOOGLETRANSLATE(B507,""auto"",""en"")"),"Choi mud DIY simulation")</f>
        <v>Choi mud DIY simulation</v>
      </c>
      <c r="I507" s="3" t="str">
        <f ca="1">IFERROR(__xludf.DUMMYFUNCTION("GOOGLETRANSLATE(C507,""auto"",""en"")"),"Clay / clay ultralight")</f>
        <v>Clay / clay ultralight</v>
      </c>
    </row>
    <row r="508" spans="1:9" ht="13" x14ac:dyDescent="0.15">
      <c r="A508" s="2" t="s">
        <v>383</v>
      </c>
      <c r="B508" s="2" t="s">
        <v>527</v>
      </c>
      <c r="C508" s="2" t="s">
        <v>530</v>
      </c>
      <c r="D508" s="3">
        <v>1607987</v>
      </c>
      <c r="E508" s="3">
        <v>44178</v>
      </c>
      <c r="F508" s="3">
        <v>7862</v>
      </c>
      <c r="G508" s="3" t="s">
        <v>386</v>
      </c>
      <c r="H508" s="3" t="str">
        <f ca="1">IFERROR(__xludf.DUMMYFUNCTION("GOOGLETRANSLATE(B508,""auto"",""en"")"),"Choi mud DIY simulation")</f>
        <v>Choi mud DIY simulation</v>
      </c>
      <c r="I508" s="3" t="str">
        <f ca="1">IFERROR(__xludf.DUMMYFUNCTION("GOOGLETRANSLATE(C508,""auto"",""en"")"),"Play house toys")</f>
        <v>Play house toys</v>
      </c>
    </row>
    <row r="509" spans="1:9" ht="13" x14ac:dyDescent="0.15">
      <c r="A509" s="2" t="s">
        <v>383</v>
      </c>
      <c r="B509" s="2" t="s">
        <v>527</v>
      </c>
      <c r="C509" s="2" t="s">
        <v>531</v>
      </c>
      <c r="D509" s="3">
        <v>1607987</v>
      </c>
      <c r="E509" s="3">
        <v>44178</v>
      </c>
      <c r="F509" s="3">
        <v>2831</v>
      </c>
      <c r="G509" s="3" t="s">
        <v>386</v>
      </c>
      <c r="H509" s="3" t="str">
        <f ca="1">IFERROR(__xludf.DUMMYFUNCTION("GOOGLETRANSLATE(B509,""auto"",""en"")"),"Choi mud DIY simulation")</f>
        <v>Choi mud DIY simulation</v>
      </c>
      <c r="I509" s="3" t="str">
        <f ca="1">IFERROR(__xludf.DUMMYFUNCTION("GOOGLETRANSLATE(C509,""auto"",""en"")"),"Choi mud / plasticine")</f>
        <v>Choi mud / plasticine</v>
      </c>
    </row>
    <row r="510" spans="1:9" ht="13" x14ac:dyDescent="0.15">
      <c r="A510" s="2" t="s">
        <v>383</v>
      </c>
      <c r="B510" s="2" t="s">
        <v>527</v>
      </c>
      <c r="C510" s="2" t="s">
        <v>532</v>
      </c>
      <c r="D510" s="3">
        <v>1607987</v>
      </c>
      <c r="E510" s="3">
        <v>44178</v>
      </c>
      <c r="F510" s="3">
        <v>2071</v>
      </c>
      <c r="G510" s="3" t="s">
        <v>386</v>
      </c>
      <c r="H510" s="3" t="str">
        <f ca="1">IFERROR(__xludf.DUMMYFUNCTION("GOOGLETRANSLATE(B510,""auto"",""en"")"),"Choi mud DIY simulation")</f>
        <v>Choi mud DIY simulation</v>
      </c>
      <c r="I510" s="3" t="str">
        <f ca="1">IFERROR(__xludf.DUMMYFUNCTION("GOOGLETRANSLATE(C510,""auto"",""en"")"),"Other simulation toys")</f>
        <v>Other simulation toys</v>
      </c>
    </row>
    <row r="511" spans="1:9" ht="13" x14ac:dyDescent="0.15">
      <c r="A511" s="2" t="s">
        <v>383</v>
      </c>
      <c r="B511" s="2" t="s">
        <v>527</v>
      </c>
      <c r="C511" s="2" t="s">
        <v>533</v>
      </c>
      <c r="D511" s="3">
        <v>1607987</v>
      </c>
      <c r="E511" s="3">
        <v>44178</v>
      </c>
      <c r="F511" s="3">
        <v>1526</v>
      </c>
      <c r="G511" s="3" t="s">
        <v>386</v>
      </c>
      <c r="H511" s="3" t="str">
        <f ca="1">IFERROR(__xludf.DUMMYFUNCTION("GOOGLETRANSLATE(B511,""auto"",""en"")"),"Choi mud DIY simulation")</f>
        <v>Choi mud DIY simulation</v>
      </c>
      <c r="I511" s="3" t="str">
        <f ca="1">IFERROR(__xludf.DUMMYFUNCTION("GOOGLETRANSLATE(C511,""auto"",""en"")"),"Simulation of fruits and vegetables / food")</f>
        <v>Simulation of fruits and vegetables / food</v>
      </c>
    </row>
    <row r="512" spans="1:9" ht="13" x14ac:dyDescent="0.15">
      <c r="A512" s="2" t="s">
        <v>383</v>
      </c>
      <c r="B512" s="2" t="s">
        <v>527</v>
      </c>
      <c r="C512" s="2" t="s">
        <v>534</v>
      </c>
      <c r="D512" s="3">
        <v>1607987</v>
      </c>
      <c r="E512" s="3">
        <v>44178</v>
      </c>
      <c r="F512" s="3">
        <v>1287</v>
      </c>
      <c r="G512" s="3" t="s">
        <v>386</v>
      </c>
      <c r="H512" s="3" t="str">
        <f ca="1">IFERROR(__xludf.DUMMYFUNCTION("GOOGLETRANSLATE(B512,""auto"",""en"")"),"Choi mud DIY simulation")</f>
        <v>Choi mud DIY simulation</v>
      </c>
      <c r="I512" s="3" t="str">
        <f ca="1">IFERROR(__xludf.DUMMYFUNCTION("GOOGLETRANSLATE(C512,""auto"",""en"")"),"Honestly look")</f>
        <v>Honestly look</v>
      </c>
    </row>
    <row r="513" spans="1:9" ht="13" x14ac:dyDescent="0.15">
      <c r="A513" s="2" t="s">
        <v>383</v>
      </c>
      <c r="B513" s="2" t="s">
        <v>527</v>
      </c>
      <c r="C513" s="2" t="s">
        <v>535</v>
      </c>
      <c r="D513" s="3">
        <v>1607987</v>
      </c>
      <c r="E513" s="3">
        <v>44178</v>
      </c>
      <c r="F513" s="3">
        <v>42</v>
      </c>
      <c r="G513" s="3" t="s">
        <v>386</v>
      </c>
      <c r="H513" s="3" t="str">
        <f ca="1">IFERROR(__xludf.DUMMYFUNCTION("GOOGLETRANSLATE(B513,""auto"",""en"")"),"Choi mud DIY simulation")</f>
        <v>Choi mud DIY simulation</v>
      </c>
      <c r="I513" s="3" t="str">
        <f ca="1">IFERROR(__xludf.DUMMYFUNCTION("GOOGLETRANSLATE(C513,""auto"",""en"")"),"Simulation camera")</f>
        <v>Simulation camera</v>
      </c>
    </row>
    <row r="514" spans="1:9" ht="13" x14ac:dyDescent="0.15">
      <c r="A514" s="2" t="s">
        <v>383</v>
      </c>
      <c r="B514" s="2" t="s">
        <v>527</v>
      </c>
      <c r="C514" s="2" t="s">
        <v>536</v>
      </c>
      <c r="D514" s="3">
        <v>1607987</v>
      </c>
      <c r="E514" s="3">
        <v>44178</v>
      </c>
      <c r="F514" s="3">
        <v>18</v>
      </c>
      <c r="G514" s="3" t="s">
        <v>386</v>
      </c>
      <c r="H514" s="3" t="str">
        <f ca="1">IFERROR(__xludf.DUMMYFUNCTION("GOOGLETRANSLATE(B514,""auto"",""en"")"),"Choi mud DIY simulation")</f>
        <v>Choi mud DIY simulation</v>
      </c>
      <c r="I514" s="3" t="str">
        <f ca="1">IFERROR(__xludf.DUMMYFUNCTION("GOOGLETRANSLATE(C514,""auto"",""en"")"),"Fimo clay")</f>
        <v>Fimo clay</v>
      </c>
    </row>
    <row r="515" spans="1:9" ht="13" x14ac:dyDescent="0.15">
      <c r="A515" s="2" t="s">
        <v>383</v>
      </c>
      <c r="B515" s="2" t="s">
        <v>537</v>
      </c>
      <c r="C515" s="2" t="s">
        <v>538</v>
      </c>
      <c r="D515" s="3">
        <v>1607987</v>
      </c>
      <c r="E515" s="3">
        <v>43863</v>
      </c>
      <c r="F515" s="3">
        <v>36548</v>
      </c>
      <c r="G515" s="3" t="s">
        <v>386</v>
      </c>
      <c r="H515" s="3" t="str">
        <f ca="1">IFERROR(__xludf.DUMMYFUNCTION("GOOGLETRANSLATE(B515,""auto"",""en"")"),"Fabric / plush / plastic doll")</f>
        <v>Fabric / plush / plastic doll</v>
      </c>
      <c r="I515" s="3" t="str">
        <f ca="1">IFERROR(__xludf.DUMMYFUNCTION("GOOGLETRANSLATE(C515,""auto"",""en"")"),"Plastic / Barbie")</f>
        <v>Plastic / Barbie</v>
      </c>
    </row>
    <row r="516" spans="1:9" ht="13" x14ac:dyDescent="0.15">
      <c r="A516" s="2" t="s">
        <v>383</v>
      </c>
      <c r="B516" s="2" t="s">
        <v>537</v>
      </c>
      <c r="C516" s="2" t="s">
        <v>539</v>
      </c>
      <c r="D516" s="3">
        <v>1607987</v>
      </c>
      <c r="E516" s="3">
        <v>43863</v>
      </c>
      <c r="F516" s="3">
        <v>7315</v>
      </c>
      <c r="G516" s="3" t="s">
        <v>386</v>
      </c>
      <c r="H516" s="3" t="str">
        <f ca="1">IFERROR(__xludf.DUMMYFUNCTION("GOOGLETRANSLATE(B516,""auto"",""en"")"),"Fabric / plush / plastic doll")</f>
        <v>Fabric / plush / plastic doll</v>
      </c>
      <c r="I516" s="3" t="str">
        <f ca="1">IFERROR(__xludf.DUMMYFUNCTION("GOOGLETRANSLATE(C516,""auto"",""en"")"),"Fabric / Plush Doll")</f>
        <v>Fabric / Plush Doll</v>
      </c>
    </row>
    <row r="517" spans="1:9" ht="13" x14ac:dyDescent="0.15">
      <c r="A517" s="2" t="s">
        <v>383</v>
      </c>
      <c r="B517" s="2" t="s">
        <v>540</v>
      </c>
      <c r="C517" s="2" t="s">
        <v>541</v>
      </c>
      <c r="D517" s="3">
        <v>1607987</v>
      </c>
      <c r="E517" s="3">
        <v>40299</v>
      </c>
      <c r="F517" s="3">
        <v>13163</v>
      </c>
      <c r="G517" s="3" t="s">
        <v>386</v>
      </c>
      <c r="H517" s="3" t="str">
        <f ca="1">IFERROR(__xludf.DUMMYFUNCTION("GOOGLETRANSLATE(B517,""auto"",""en"")"),"Baby / Skating")</f>
        <v>Baby / Skating</v>
      </c>
      <c r="I517" s="3" t="str">
        <f ca="1">IFERROR(__xludf.DUMMYFUNCTION("GOOGLETRANSLATE(C517,""auto"",""en"")"),"bicycle")</f>
        <v>bicycle</v>
      </c>
    </row>
    <row r="518" spans="1:9" ht="13" x14ac:dyDescent="0.15">
      <c r="A518" s="2" t="s">
        <v>383</v>
      </c>
      <c r="B518" s="2" t="s">
        <v>540</v>
      </c>
      <c r="C518" s="2" t="s">
        <v>542</v>
      </c>
      <c r="D518" s="3">
        <v>1607987</v>
      </c>
      <c r="E518" s="3">
        <v>40299</v>
      </c>
      <c r="F518" s="3">
        <v>10493</v>
      </c>
      <c r="G518" s="3" t="s">
        <v>386</v>
      </c>
      <c r="H518" s="3" t="str">
        <f ca="1">IFERROR(__xludf.DUMMYFUNCTION("GOOGLETRANSLATE(B518,""auto"",""en"")"),"Baby / Skating")</f>
        <v>Baby / Skating</v>
      </c>
      <c r="I518" s="3" t="str">
        <f ca="1">IFERROR(__xludf.DUMMYFUNCTION("GOOGLETRANSLATE(C518,""auto"",""en"")"),"Shilly car")</f>
        <v>Shilly car</v>
      </c>
    </row>
    <row r="519" spans="1:9" ht="13" x14ac:dyDescent="0.15">
      <c r="A519" s="2" t="s">
        <v>383</v>
      </c>
      <c r="B519" s="2" t="s">
        <v>540</v>
      </c>
      <c r="C519" s="2" t="s">
        <v>543</v>
      </c>
      <c r="D519" s="3">
        <v>1607987</v>
      </c>
      <c r="E519" s="3">
        <v>40299</v>
      </c>
      <c r="F519" s="3">
        <v>5961</v>
      </c>
      <c r="G519" s="3" t="s">
        <v>386</v>
      </c>
      <c r="H519" s="3" t="str">
        <f ca="1">IFERROR(__xludf.DUMMYFUNCTION("GOOGLETRANSLATE(B519,""auto"",""en"")"),"Baby / Skating")</f>
        <v>Baby / Skating</v>
      </c>
      <c r="I519" s="3" t="str">
        <f ca="1">IFERROR(__xludf.DUMMYFUNCTION("GOOGLETRANSLATE(C519,""auto"",""en"")"),"Scooter")</f>
        <v>Scooter</v>
      </c>
    </row>
    <row r="520" spans="1:9" ht="13" x14ac:dyDescent="0.15">
      <c r="A520" s="2" t="s">
        <v>383</v>
      </c>
      <c r="B520" s="2" t="s">
        <v>540</v>
      </c>
      <c r="C520" s="2" t="s">
        <v>544</v>
      </c>
      <c r="D520" s="3">
        <v>1607987</v>
      </c>
      <c r="E520" s="3">
        <v>40299</v>
      </c>
      <c r="F520" s="3">
        <v>4195</v>
      </c>
      <c r="G520" s="3" t="s">
        <v>386</v>
      </c>
      <c r="H520" s="3" t="str">
        <f ca="1">IFERROR(__xludf.DUMMYFUNCTION("GOOGLETRANSLATE(B520,""auto"",""en"")"),"Baby / Skating")</f>
        <v>Baby / Skating</v>
      </c>
      <c r="I520" s="3" t="str">
        <f ca="1">IFERROR(__xludf.DUMMYFUNCTION("GOOGLETRANSLATE(C520,""auto"",""en"")"),"Tricycle")</f>
        <v>Tricycle</v>
      </c>
    </row>
    <row r="521" spans="1:9" ht="13" x14ac:dyDescent="0.15">
      <c r="A521" s="2" t="s">
        <v>383</v>
      </c>
      <c r="B521" s="2" t="s">
        <v>540</v>
      </c>
      <c r="C521" s="2" t="s">
        <v>545</v>
      </c>
      <c r="D521" s="3">
        <v>1607987</v>
      </c>
      <c r="E521" s="3">
        <v>40299</v>
      </c>
      <c r="F521" s="3">
        <v>2488</v>
      </c>
      <c r="G521" s="3" t="s">
        <v>386</v>
      </c>
      <c r="H521" s="3" t="str">
        <f ca="1">IFERROR(__xludf.DUMMYFUNCTION("GOOGLETRANSLATE(B521,""auto"",""en"")"),"Baby / Skating")</f>
        <v>Baby / Skating</v>
      </c>
      <c r="I521" s="3" t="str">
        <f ca="1">IFERROR(__xludf.DUMMYFUNCTION("GOOGLETRANSLATE(C521,""auto"",""en"")"),"Skates / roller skates")</f>
        <v>Skates / roller skates</v>
      </c>
    </row>
    <row r="522" spans="1:9" ht="13" x14ac:dyDescent="0.15">
      <c r="A522" s="2" t="s">
        <v>383</v>
      </c>
      <c r="B522" s="2" t="s">
        <v>540</v>
      </c>
      <c r="C522" s="2" t="s">
        <v>546</v>
      </c>
      <c r="D522" s="3">
        <v>1607987</v>
      </c>
      <c r="E522" s="3">
        <v>40299</v>
      </c>
      <c r="F522" s="3">
        <v>2089</v>
      </c>
      <c r="G522" s="3" t="s">
        <v>386</v>
      </c>
      <c r="H522" s="3" t="str">
        <f ca="1">IFERROR(__xludf.DUMMYFUNCTION("GOOGLETRANSLATE(B522,""auto"",""en"")"),"Baby / Skating")</f>
        <v>Baby / Skating</v>
      </c>
      <c r="I522" s="3" t="str">
        <f ca="1">IFERROR(__xludf.DUMMYFUNCTION("GOOGLETRANSLATE(C522,""auto"",""en"")"),"Skate / Skateboard")</f>
        <v>Skate / Skateboard</v>
      </c>
    </row>
    <row r="523" spans="1:9" ht="13" x14ac:dyDescent="0.15">
      <c r="A523" s="2" t="s">
        <v>383</v>
      </c>
      <c r="B523" s="2" t="s">
        <v>540</v>
      </c>
      <c r="C523" s="2" t="s">
        <v>547</v>
      </c>
      <c r="D523" s="3">
        <v>1607987</v>
      </c>
      <c r="E523" s="3">
        <v>40299</v>
      </c>
      <c r="F523" s="3">
        <v>1052</v>
      </c>
      <c r="G523" s="3" t="s">
        <v>386</v>
      </c>
      <c r="H523" s="3" t="str">
        <f ca="1">IFERROR(__xludf.DUMMYFUNCTION("GOOGLETRANSLATE(B523,""auto"",""en"")"),"Baby / Skating")</f>
        <v>Baby / Skating</v>
      </c>
      <c r="I523" s="3" t="str">
        <f ca="1">IFERROR(__xludf.DUMMYFUNCTION("GOOGLETRANSLATE(C523,""auto"",""en"")"),"Glide walker")</f>
        <v>Glide walker</v>
      </c>
    </row>
    <row r="524" spans="1:9" ht="13" x14ac:dyDescent="0.15">
      <c r="A524" s="2" t="s">
        <v>383</v>
      </c>
      <c r="B524" s="2" t="s">
        <v>540</v>
      </c>
      <c r="C524" s="2" t="s">
        <v>548</v>
      </c>
      <c r="D524" s="3">
        <v>1607987</v>
      </c>
      <c r="E524" s="3">
        <v>40299</v>
      </c>
      <c r="F524" s="3">
        <v>773</v>
      </c>
      <c r="G524" s="3" t="s">
        <v>386</v>
      </c>
      <c r="H524" s="3" t="str">
        <f ca="1">IFERROR(__xludf.DUMMYFUNCTION("GOOGLETRANSLATE(B524,""auto"",""en"")"),"Baby / Skating")</f>
        <v>Baby / Skating</v>
      </c>
      <c r="I524" s="3" t="str">
        <f ca="1">IFERROR(__xludf.DUMMYFUNCTION("GOOGLETRANSLATE(C524,""auto"",""en"")"),"Children's electric car")</f>
        <v>Children's electric car</v>
      </c>
    </row>
    <row r="525" spans="1:9" ht="13" x14ac:dyDescent="0.15">
      <c r="A525" s="2" t="s">
        <v>383</v>
      </c>
      <c r="B525" s="2" t="s">
        <v>540</v>
      </c>
      <c r="C525" s="2" t="s">
        <v>549</v>
      </c>
      <c r="D525" s="3">
        <v>1607987</v>
      </c>
      <c r="E525" s="3">
        <v>40299</v>
      </c>
      <c r="F525" s="3">
        <v>41</v>
      </c>
      <c r="G525" s="3" t="s">
        <v>386</v>
      </c>
      <c r="H525" s="3" t="str">
        <f ca="1">IFERROR(__xludf.DUMMYFUNCTION("GOOGLETRANSLATE(B525,""auto"",""en"")"),"Baby / Skating")</f>
        <v>Baby / Skating</v>
      </c>
      <c r="I525" s="3" t="str">
        <f ca="1">IFERROR(__xludf.DUMMYFUNCTION("GOOGLETRANSLATE(C525,""auto"",""en"")"),"Childs vehicles accessories")</f>
        <v>Childs vehicles accessories</v>
      </c>
    </row>
    <row r="526" spans="1:9" ht="13" x14ac:dyDescent="0.15">
      <c r="A526" s="2" t="s">
        <v>383</v>
      </c>
      <c r="B526" s="2" t="s">
        <v>540</v>
      </c>
      <c r="C526" s="2" t="s">
        <v>550</v>
      </c>
      <c r="D526" s="3">
        <v>1607987</v>
      </c>
      <c r="E526" s="3">
        <v>40299</v>
      </c>
      <c r="F526" s="3">
        <v>27</v>
      </c>
      <c r="G526" s="3" t="s">
        <v>386</v>
      </c>
      <c r="H526" s="3" t="str">
        <f ca="1">IFERROR(__xludf.DUMMYFUNCTION("GOOGLETRANSLATE(B526,""auto"",""en"")"),"Baby / Skating")</f>
        <v>Baby / Skating</v>
      </c>
      <c r="I526" s="3" t="str">
        <f ca="1">IFERROR(__xludf.DUMMYFUNCTION("GOOGLETRANSLATE(C526,""auto"",""en"")"),"Protective gear")</f>
        <v>Protective gear</v>
      </c>
    </row>
    <row r="527" spans="1:9" ht="13" x14ac:dyDescent="0.15">
      <c r="A527" s="2" t="s">
        <v>383</v>
      </c>
      <c r="B527" s="2" t="s">
        <v>540</v>
      </c>
      <c r="C527" s="2" t="s">
        <v>551</v>
      </c>
      <c r="D527" s="3">
        <v>1607987</v>
      </c>
      <c r="E527" s="3">
        <v>40299</v>
      </c>
      <c r="F527" s="3">
        <v>17</v>
      </c>
      <c r="G527" s="3" t="s">
        <v>386</v>
      </c>
      <c r="H527" s="3" t="str">
        <f ca="1">IFERROR(__xludf.DUMMYFUNCTION("GOOGLETRANSLATE(B527,""auto"",""en"")"),"Baby / Skating")</f>
        <v>Baby / Skating</v>
      </c>
      <c r="I527" s="3" t="str">
        <f ca="1">IFERROR(__xludf.DUMMYFUNCTION("GOOGLETRANSLATE(C527,""auto"",""en"")"),"helmet")</f>
        <v>helmet</v>
      </c>
    </row>
    <row r="528" spans="1:9" ht="13" x14ac:dyDescent="0.15">
      <c r="A528" s="2" t="s">
        <v>383</v>
      </c>
      <c r="B528" s="2" t="s">
        <v>552</v>
      </c>
      <c r="C528" s="2" t="s">
        <v>553</v>
      </c>
      <c r="D528" s="3">
        <v>1607987</v>
      </c>
      <c r="E528" s="3">
        <v>20138</v>
      </c>
      <c r="F528" s="3">
        <v>18957</v>
      </c>
      <c r="G528" s="3" t="s">
        <v>386</v>
      </c>
      <c r="H528" s="3" t="str">
        <f ca="1">IFERROR(__xludf.DUMMYFUNCTION("GOOGLETRANSLATE(B528,""auto"",""en"")"),"Electronic / emitting / pneumatic / tricky Toys")</f>
        <v>Electronic / emitting / pneumatic / tricky Toys</v>
      </c>
      <c r="I528" s="3" t="str">
        <f ca="1">IFERROR(__xludf.DUMMYFUNCTION("GOOGLETRANSLATE(C528,""auto"",""en"")"),"Plastic inflatable toys")</f>
        <v>Plastic inflatable toys</v>
      </c>
    </row>
    <row r="529" spans="1:9" ht="13" x14ac:dyDescent="0.15">
      <c r="A529" s="2" t="s">
        <v>383</v>
      </c>
      <c r="B529" s="2" t="s">
        <v>552</v>
      </c>
      <c r="C529" s="2" t="s">
        <v>554</v>
      </c>
      <c r="D529" s="3">
        <v>1607987</v>
      </c>
      <c r="E529" s="3">
        <v>20138</v>
      </c>
      <c r="F529" s="3">
        <v>526</v>
      </c>
      <c r="G529" s="3" t="s">
        <v>386</v>
      </c>
      <c r="H529" s="3" t="str">
        <f ca="1">IFERROR(__xludf.DUMMYFUNCTION("GOOGLETRANSLATE(B529,""auto"",""en"")"),"Electronic / emitting / pneumatic / tricky Toys")</f>
        <v>Electronic / emitting / pneumatic / tricky Toys</v>
      </c>
      <c r="I529" s="3" t="str">
        <f ca="1">IFERROR(__xludf.DUMMYFUNCTION("GOOGLETRANSLATE(C529,""auto"",""en"")"),"LED toys")</f>
        <v>LED toys</v>
      </c>
    </row>
    <row r="530" spans="1:9" ht="13" x14ac:dyDescent="0.15">
      <c r="A530" s="2" t="s">
        <v>383</v>
      </c>
      <c r="B530" s="2" t="s">
        <v>552</v>
      </c>
      <c r="C530" s="2" t="s">
        <v>555</v>
      </c>
      <c r="D530" s="3">
        <v>1607987</v>
      </c>
      <c r="E530" s="3">
        <v>20138</v>
      </c>
      <c r="F530" s="3">
        <v>498</v>
      </c>
      <c r="G530" s="3" t="s">
        <v>386</v>
      </c>
      <c r="H530" s="3" t="str">
        <f ca="1">IFERROR(__xludf.DUMMYFUNCTION("GOOGLETRANSLATE(B530,""auto"",""en"")"),"Electronic / emitting / pneumatic / tricky Toys")</f>
        <v>Electronic / emitting / pneumatic / tricky Toys</v>
      </c>
      <c r="I530" s="3" t="str">
        <f ca="1">IFERROR(__xludf.DUMMYFUNCTION("GOOGLETRANSLATE(C530,""auto"",""en"")"),"electronic toy")</f>
        <v>electronic toy</v>
      </c>
    </row>
    <row r="531" spans="1:9" ht="13" x14ac:dyDescent="0.15">
      <c r="A531" s="2" t="s">
        <v>383</v>
      </c>
      <c r="B531" s="2" t="s">
        <v>552</v>
      </c>
      <c r="C531" s="2" t="s">
        <v>523</v>
      </c>
      <c r="D531" s="3">
        <v>1607987</v>
      </c>
      <c r="E531" s="3">
        <v>20138</v>
      </c>
      <c r="F531" s="3">
        <v>155</v>
      </c>
      <c r="G531" s="3" t="s">
        <v>386</v>
      </c>
      <c r="H531" s="3" t="str">
        <f ca="1">IFERROR(__xludf.DUMMYFUNCTION("GOOGLETRANSLATE(B531,""auto"",""en"")"),"Electronic / emitting / pneumatic / tricky Toys")</f>
        <v>Electronic / emitting / pneumatic / tricky Toys</v>
      </c>
      <c r="I531" s="3" t="str">
        <f ca="1">IFERROR(__xludf.DUMMYFUNCTION("GOOGLETRANSLATE(C531,""auto"",""en"")"),"Creative / Tricky Toy")</f>
        <v>Creative / Tricky Toy</v>
      </c>
    </row>
    <row r="532" spans="1:9" ht="13" x14ac:dyDescent="0.15">
      <c r="A532" s="2" t="s">
        <v>383</v>
      </c>
      <c r="B532" s="2" t="s">
        <v>552</v>
      </c>
      <c r="C532" s="2" t="s">
        <v>552</v>
      </c>
      <c r="D532" s="3">
        <v>1607987</v>
      </c>
      <c r="E532" s="3">
        <v>20138</v>
      </c>
      <c r="F532" s="3">
        <v>2</v>
      </c>
      <c r="G532" s="3" t="s">
        <v>386</v>
      </c>
      <c r="H532" s="3" t="str">
        <f ca="1">IFERROR(__xludf.DUMMYFUNCTION("GOOGLETRANSLATE(B532,""auto"",""en"")"),"Electronic / emitting / pneumatic / tricky Toys")</f>
        <v>Electronic / emitting / pneumatic / tricky Toys</v>
      </c>
      <c r="I532" s="3" t="str">
        <f ca="1">IFERROR(__xludf.DUMMYFUNCTION("GOOGLETRANSLATE(C532,""auto"",""en"")"),"Electronic / emitting / pneumatic / tricky Toys")</f>
        <v>Electronic / emitting / pneumatic / tricky Toys</v>
      </c>
    </row>
    <row r="533" spans="1:9" ht="13" x14ac:dyDescent="0.15">
      <c r="A533" s="2" t="s">
        <v>383</v>
      </c>
      <c r="B533" s="2" t="s">
        <v>556</v>
      </c>
      <c r="C533" s="2" t="s">
        <v>557</v>
      </c>
      <c r="D533" s="3">
        <v>1607987</v>
      </c>
      <c r="E533" s="3">
        <v>11796</v>
      </c>
      <c r="F533" s="3">
        <v>4391</v>
      </c>
      <c r="G533" s="3" t="s">
        <v>386</v>
      </c>
      <c r="H533" s="3" t="str">
        <f ca="1">IFERROR(__xludf.DUMMYFUNCTION("GOOGLETRANSLATE(B533,""auto"",""en"")"),"Robot / model / toy gun")</f>
        <v>Robot / model / toy gun</v>
      </c>
      <c r="I533" s="3" t="str">
        <f ca="1">IFERROR(__xludf.DUMMYFUNCTION("GOOGLETRANSLATE(C533,""auto"",""en"")"),"robot")</f>
        <v>robot</v>
      </c>
    </row>
    <row r="534" spans="1:9" ht="13" x14ac:dyDescent="0.15">
      <c r="A534" s="2" t="s">
        <v>383</v>
      </c>
      <c r="B534" s="2" t="s">
        <v>556</v>
      </c>
      <c r="C534" s="2" t="s">
        <v>558</v>
      </c>
      <c r="D534" s="3">
        <v>1607987</v>
      </c>
      <c r="E534" s="3">
        <v>11796</v>
      </c>
      <c r="F534" s="3">
        <v>3011</v>
      </c>
      <c r="G534" s="3" t="s">
        <v>386</v>
      </c>
      <c r="H534" s="3" t="str">
        <f ca="1">IFERROR(__xludf.DUMMYFUNCTION("GOOGLETRANSLATE(B534,""auto"",""en"")"),"Robot / model / toy gun")</f>
        <v>Robot / model / toy gun</v>
      </c>
      <c r="I534" s="3" t="str">
        <f ca="1">IFERROR(__xludf.DUMMYFUNCTION("GOOGLETRANSLATE(C534,""auto"",""en"")"),"Transformers")</f>
        <v>Transformers</v>
      </c>
    </row>
    <row r="535" spans="1:9" ht="13" x14ac:dyDescent="0.15">
      <c r="A535" s="2" t="s">
        <v>383</v>
      </c>
      <c r="B535" s="2" t="s">
        <v>556</v>
      </c>
      <c r="C535" s="2" t="s">
        <v>559</v>
      </c>
      <c r="D535" s="3">
        <v>1607987</v>
      </c>
      <c r="E535" s="3">
        <v>11796</v>
      </c>
      <c r="F535" s="3">
        <v>1383</v>
      </c>
      <c r="G535" s="3" t="s">
        <v>386</v>
      </c>
      <c r="H535" s="3" t="str">
        <f ca="1">IFERROR(__xludf.DUMMYFUNCTION("GOOGLETRANSLATE(B535,""auto"",""en"")"),"Robot / model / toy gun")</f>
        <v>Robot / model / toy gun</v>
      </c>
      <c r="I535" s="3" t="str">
        <f ca="1">IFERROR(__xludf.DUMMYFUNCTION("GOOGLETRANSLATE(C535,""auto"",""en"")"),"Toy guns")</f>
        <v>Toy guns</v>
      </c>
    </row>
    <row r="536" spans="1:9" ht="13" x14ac:dyDescent="0.15">
      <c r="A536" s="2" t="s">
        <v>383</v>
      </c>
      <c r="B536" s="2" t="s">
        <v>556</v>
      </c>
      <c r="C536" s="2" t="s">
        <v>560</v>
      </c>
      <c r="D536" s="3">
        <v>1607987</v>
      </c>
      <c r="E536" s="3">
        <v>11796</v>
      </c>
      <c r="F536" s="3">
        <v>932</v>
      </c>
      <c r="G536" s="3" t="s">
        <v>386</v>
      </c>
      <c r="H536" s="3" t="str">
        <f ca="1">IFERROR(__xludf.DUMMYFUNCTION("GOOGLETRANSLATE(B536,""auto"",""en"")"),"Robot / model / toy gun")</f>
        <v>Robot / model / toy gun</v>
      </c>
      <c r="I536" s="3" t="str">
        <f ca="1">IFERROR(__xludf.DUMMYFUNCTION("GOOGLETRANSLATE(C536,""auto"",""en"")"),"Altman Toy Zone")</f>
        <v>Altman Toy Zone</v>
      </c>
    </row>
    <row r="537" spans="1:9" ht="13" x14ac:dyDescent="0.15">
      <c r="A537" s="2" t="s">
        <v>383</v>
      </c>
      <c r="B537" s="2" t="s">
        <v>556</v>
      </c>
      <c r="C537" s="2" t="s">
        <v>561</v>
      </c>
      <c r="D537" s="3">
        <v>1607987</v>
      </c>
      <c r="E537" s="3">
        <v>11796</v>
      </c>
      <c r="F537" s="3">
        <v>732</v>
      </c>
      <c r="G537" s="3" t="s">
        <v>386</v>
      </c>
      <c r="H537" s="3" t="str">
        <f ca="1">IFERROR(__xludf.DUMMYFUNCTION("GOOGLETRANSLATE(B537,""auto"",""en"")"),"Robot / model / toy gun")</f>
        <v>Robot / model / toy gun</v>
      </c>
      <c r="I537" s="3" t="str">
        <f ca="1">IFERROR(__xludf.DUMMYFUNCTION("GOOGLETRANSLATE(C537,""auto"",""en"")"),"Car / ship models")</f>
        <v>Car / ship models</v>
      </c>
    </row>
    <row r="538" spans="1:9" ht="13" x14ac:dyDescent="0.15">
      <c r="A538" s="2" t="s">
        <v>383</v>
      </c>
      <c r="B538" s="2" t="s">
        <v>556</v>
      </c>
      <c r="C538" s="2" t="s">
        <v>562</v>
      </c>
      <c r="D538" s="3">
        <v>1607987</v>
      </c>
      <c r="E538" s="3">
        <v>11796</v>
      </c>
      <c r="F538" s="3">
        <v>457</v>
      </c>
      <c r="G538" s="3" t="s">
        <v>386</v>
      </c>
      <c r="H538" s="3" t="str">
        <f ca="1">IFERROR(__xludf.DUMMYFUNCTION("GOOGLETRANSLATE(B538,""auto"",""en"")"),"Robot / model / toy gun")</f>
        <v>Robot / model / toy gun</v>
      </c>
      <c r="I538" s="3" t="str">
        <f ca="1">IFERROR(__xludf.DUMMYFUNCTION("GOOGLETRANSLATE(C538,""auto"",""en"")"),"Electric toy gun")</f>
        <v>Electric toy gun</v>
      </c>
    </row>
    <row r="539" spans="1:9" ht="13" x14ac:dyDescent="0.15">
      <c r="A539" s="2" t="s">
        <v>383</v>
      </c>
      <c r="B539" s="2" t="s">
        <v>556</v>
      </c>
      <c r="C539" s="2" t="s">
        <v>563</v>
      </c>
      <c r="D539" s="3">
        <v>1607987</v>
      </c>
      <c r="E539" s="3">
        <v>11796</v>
      </c>
      <c r="F539" s="3">
        <v>409</v>
      </c>
      <c r="G539" s="3" t="s">
        <v>386</v>
      </c>
      <c r="H539" s="3" t="str">
        <f ca="1">IFERROR(__xludf.DUMMYFUNCTION("GOOGLETRANSLATE(B539,""auto"",""en"")"),"Robot / model / toy gun")</f>
        <v>Robot / model / toy gun</v>
      </c>
      <c r="I539" s="3" t="str">
        <f ca="1">IFERROR(__xludf.DUMMYFUNCTION("GOOGLETRANSLATE(C539,""auto"",""en"")"),"Mind control toys")</f>
        <v>Mind control toys</v>
      </c>
    </row>
    <row r="540" spans="1:9" ht="13" x14ac:dyDescent="0.15">
      <c r="A540" s="2" t="s">
        <v>383</v>
      </c>
      <c r="B540" s="2" t="s">
        <v>556</v>
      </c>
      <c r="C540" s="2" t="s">
        <v>564</v>
      </c>
      <c r="D540" s="3">
        <v>1607987</v>
      </c>
      <c r="E540" s="3">
        <v>11796</v>
      </c>
      <c r="F540" s="3">
        <v>227</v>
      </c>
      <c r="G540" s="3" t="s">
        <v>386</v>
      </c>
      <c r="H540" s="3" t="str">
        <f ca="1">IFERROR(__xludf.DUMMYFUNCTION("GOOGLETRANSLATE(B540,""auto"",""en"")"),"Robot / model / toy gun")</f>
        <v>Robot / model / toy gun</v>
      </c>
      <c r="I540" s="3" t="str">
        <f ca="1">IFERROR(__xludf.DUMMYFUNCTION("GOOGLETRANSLATE(C540,""auto"",""en"")"),"Water bullet gun")</f>
        <v>Water bullet gun</v>
      </c>
    </row>
    <row r="541" spans="1:9" ht="13" x14ac:dyDescent="0.15">
      <c r="A541" s="2" t="s">
        <v>383</v>
      </c>
      <c r="B541" s="2" t="s">
        <v>556</v>
      </c>
      <c r="C541" s="2" t="s">
        <v>565</v>
      </c>
      <c r="D541" s="3">
        <v>1607987</v>
      </c>
      <c r="E541" s="3">
        <v>11796</v>
      </c>
      <c r="F541" s="3">
        <v>161</v>
      </c>
      <c r="G541" s="3" t="s">
        <v>386</v>
      </c>
      <c r="H541" s="3" t="str">
        <f ca="1">IFERROR(__xludf.DUMMYFUNCTION("GOOGLETRANSLATE(B541,""auto"",""en"")"),"Robot / model / toy gun")</f>
        <v>Robot / model / toy gun</v>
      </c>
      <c r="I541" s="3" t="str">
        <f ca="1">IFERROR(__xludf.DUMMYFUNCTION("GOOGLETRANSLATE(C541,""auto"",""en"")"),"SOFT GUN")</f>
        <v>SOFT GUN</v>
      </c>
    </row>
    <row r="542" spans="1:9" ht="13" x14ac:dyDescent="0.15">
      <c r="A542" s="2" t="s">
        <v>383</v>
      </c>
      <c r="B542" s="2" t="s">
        <v>556</v>
      </c>
      <c r="C542" s="2" t="s">
        <v>566</v>
      </c>
      <c r="D542" s="3">
        <v>1607987</v>
      </c>
      <c r="E542" s="3">
        <v>11796</v>
      </c>
      <c r="F542" s="3">
        <v>80</v>
      </c>
      <c r="G542" s="3" t="s">
        <v>386</v>
      </c>
      <c r="H542" s="3" t="str">
        <f ca="1">IFERROR(__xludf.DUMMYFUNCTION("GOOGLETRANSLATE(B542,""auto"",""en"")"),"Robot / model / toy gun")</f>
        <v>Robot / model / toy gun</v>
      </c>
      <c r="I542" s="3" t="str">
        <f ca="1">IFERROR(__xludf.DUMMYFUNCTION("GOOGLETRANSLATE(C542,""auto"",""en"")"),"Other toy gun")</f>
        <v>Other toy gun</v>
      </c>
    </row>
    <row r="543" spans="1:9" ht="13" x14ac:dyDescent="0.15">
      <c r="A543" s="2" t="s">
        <v>383</v>
      </c>
      <c r="B543" s="2" t="s">
        <v>556</v>
      </c>
      <c r="C543" s="2" t="s">
        <v>567</v>
      </c>
      <c r="D543" s="3">
        <v>1607987</v>
      </c>
      <c r="E543" s="3">
        <v>11796</v>
      </c>
      <c r="F543" s="3">
        <v>12</v>
      </c>
      <c r="G543" s="3" t="s">
        <v>386</v>
      </c>
      <c r="H543" s="3" t="str">
        <f ca="1">IFERROR(__xludf.DUMMYFUNCTION("GOOGLETRANSLATE(B543,""auto"",""en"")"),"Robot / model / toy gun")</f>
        <v>Robot / model / toy gun</v>
      </c>
      <c r="I543" s="3" t="str">
        <f ca="1">IFERROR(__xludf.DUMMYFUNCTION("GOOGLETRANSLATE(C543,""auto"",""en"")"),"Programming toys")</f>
        <v>Programming toys</v>
      </c>
    </row>
    <row r="544" spans="1:9" ht="13" x14ac:dyDescent="0.15">
      <c r="A544" s="2" t="s">
        <v>383</v>
      </c>
      <c r="B544" s="2" t="s">
        <v>556</v>
      </c>
      <c r="C544" s="3" t="s">
        <v>568</v>
      </c>
      <c r="D544" s="3">
        <v>1607987</v>
      </c>
      <c r="E544" s="3">
        <v>11796</v>
      </c>
      <c r="F544" s="3">
        <v>1</v>
      </c>
      <c r="G544" s="3" t="s">
        <v>386</v>
      </c>
      <c r="H544" s="3" t="str">
        <f ca="1">IFERROR(__xludf.DUMMYFUNCTION("GOOGLETRANSLATE(B544,""auto"",""en"")"),"Robot / model / toy gun")</f>
        <v>Robot / model / toy gun</v>
      </c>
      <c r="I544" s="3" t="str">
        <f ca="1">IFERROR(__xludf.DUMMYFUNCTION("GOOGLETRANSLATE(C544,""auto"",""en"")"),"app interactive toys")</f>
        <v>app interactive toys</v>
      </c>
    </row>
    <row r="545" spans="1:9" ht="13" x14ac:dyDescent="0.15">
      <c r="A545" s="2" t="s">
        <v>383</v>
      </c>
      <c r="B545" s="2" t="s">
        <v>569</v>
      </c>
      <c r="C545" s="2" t="s">
        <v>570</v>
      </c>
      <c r="D545" s="3">
        <v>1607987</v>
      </c>
      <c r="E545" s="3">
        <v>5836</v>
      </c>
      <c r="F545" s="3">
        <v>1743</v>
      </c>
      <c r="G545" s="3" t="s">
        <v>386</v>
      </c>
      <c r="H545" s="3" t="str">
        <f ca="1">IFERROR(__xludf.DUMMYFUNCTION("GOOGLETRANSLATE(B545,""auto"",""en"")"),"Professional musical instruments")</f>
        <v>Professional musical instruments</v>
      </c>
      <c r="I545" s="3" t="str">
        <f ca="1">IFERROR(__xludf.DUMMYFUNCTION("GOOGLETRANSLATE(C545,""auto"",""en"")"),"Harmonica")</f>
        <v>Harmonica</v>
      </c>
    </row>
    <row r="546" spans="1:9" ht="13" x14ac:dyDescent="0.15">
      <c r="A546" s="2" t="s">
        <v>383</v>
      </c>
      <c r="B546" s="2" t="s">
        <v>569</v>
      </c>
      <c r="C546" s="2" t="s">
        <v>571</v>
      </c>
      <c r="D546" s="3">
        <v>1607987</v>
      </c>
      <c r="E546" s="3">
        <v>5836</v>
      </c>
      <c r="F546" s="3">
        <v>1439</v>
      </c>
      <c r="G546" s="3" t="s">
        <v>386</v>
      </c>
      <c r="H546" s="3" t="str">
        <f ca="1">IFERROR(__xludf.DUMMYFUNCTION("GOOGLETRANSLATE(B546,""auto"",""en"")"),"Professional musical instruments")</f>
        <v>Professional musical instruments</v>
      </c>
      <c r="I546" s="3" t="str">
        <f ca="1">IFERROR(__xludf.DUMMYFUNCTION("GOOGLETRANSLATE(C546,""auto"",""en"")"),"Flute")</f>
        <v>Flute</v>
      </c>
    </row>
    <row r="547" spans="1:9" ht="13" x14ac:dyDescent="0.15">
      <c r="A547" s="2" t="s">
        <v>383</v>
      </c>
      <c r="B547" s="2" t="s">
        <v>569</v>
      </c>
      <c r="C547" s="2" t="s">
        <v>572</v>
      </c>
      <c r="D547" s="3">
        <v>1607987</v>
      </c>
      <c r="E547" s="3">
        <v>5836</v>
      </c>
      <c r="F547" s="3">
        <v>1150</v>
      </c>
      <c r="G547" s="3" t="s">
        <v>386</v>
      </c>
      <c r="H547" s="3" t="str">
        <f ca="1">IFERROR(__xludf.DUMMYFUNCTION("GOOGLETRANSLATE(B547,""auto"",""en"")"),"Professional musical instruments")</f>
        <v>Professional musical instruments</v>
      </c>
      <c r="I547" s="3" t="str">
        <f ca="1">IFERROR(__xludf.DUMMYFUNCTION("GOOGLETRANSLATE(C547,""auto"",""en"")"),"Keyboard")</f>
        <v>Keyboard</v>
      </c>
    </row>
    <row r="548" spans="1:9" ht="13" x14ac:dyDescent="0.15">
      <c r="A548" s="2" t="s">
        <v>383</v>
      </c>
      <c r="B548" s="2" t="s">
        <v>569</v>
      </c>
      <c r="C548" s="2" t="s">
        <v>573</v>
      </c>
      <c r="D548" s="3">
        <v>1607987</v>
      </c>
      <c r="E548" s="3">
        <v>5836</v>
      </c>
      <c r="F548" s="3">
        <v>942</v>
      </c>
      <c r="G548" s="3" t="s">
        <v>386</v>
      </c>
      <c r="H548" s="3" t="str">
        <f ca="1">IFERROR(__xludf.DUMMYFUNCTION("GOOGLETRANSLATE(B548,""auto"",""en"")"),"Professional musical instruments")</f>
        <v>Professional musical instruments</v>
      </c>
      <c r="I548" s="3" t="str">
        <f ca="1">IFERROR(__xludf.DUMMYFUNCTION("GOOGLETRANSLATE(C548,""auto"",""en"")"),"piano")</f>
        <v>piano</v>
      </c>
    </row>
    <row r="549" spans="1:9" ht="13" x14ac:dyDescent="0.15">
      <c r="A549" s="2" t="s">
        <v>383</v>
      </c>
      <c r="B549" s="2" t="s">
        <v>569</v>
      </c>
      <c r="C549" s="2" t="s">
        <v>574</v>
      </c>
      <c r="D549" s="3">
        <v>1607987</v>
      </c>
      <c r="E549" s="3">
        <v>5836</v>
      </c>
      <c r="F549" s="3">
        <v>494</v>
      </c>
      <c r="G549" s="3" t="s">
        <v>386</v>
      </c>
      <c r="H549" s="3" t="str">
        <f ca="1">IFERROR(__xludf.DUMMYFUNCTION("GOOGLETRANSLATE(B549,""auto"",""en"")"),"Professional musical instruments")</f>
        <v>Professional musical instruments</v>
      </c>
      <c r="I549" s="3" t="str">
        <f ca="1">IFERROR(__xludf.DUMMYFUNCTION("GOOGLETRANSLATE(C549,""auto"",""en"")"),"guitar")</f>
        <v>guitar</v>
      </c>
    </row>
    <row r="550" spans="1:9" ht="13" x14ac:dyDescent="0.15">
      <c r="A550" s="2" t="s">
        <v>383</v>
      </c>
      <c r="B550" s="2" t="s">
        <v>569</v>
      </c>
      <c r="C550" s="2" t="s">
        <v>92</v>
      </c>
      <c r="D550" s="3">
        <v>1607987</v>
      </c>
      <c r="E550" s="3">
        <v>5836</v>
      </c>
      <c r="F550" s="3">
        <v>65</v>
      </c>
      <c r="G550" s="3" t="s">
        <v>386</v>
      </c>
      <c r="H550" s="3" t="str">
        <f ca="1">IFERROR(__xludf.DUMMYFUNCTION("GOOGLETRANSLATE(B550,""auto"",""en"")"),"Professional musical instruments")</f>
        <v>Professional musical instruments</v>
      </c>
      <c r="I550" s="3" t="str">
        <f ca="1">IFERROR(__xludf.DUMMYFUNCTION("GOOGLETRANSLATE(C550,""auto"",""en"")"),"other")</f>
        <v>other</v>
      </c>
    </row>
    <row r="551" spans="1:9" ht="13" x14ac:dyDescent="0.15">
      <c r="A551" s="2" t="s">
        <v>383</v>
      </c>
      <c r="B551" s="2" t="s">
        <v>569</v>
      </c>
      <c r="C551" s="2" t="s">
        <v>575</v>
      </c>
      <c r="D551" s="3">
        <v>1607987</v>
      </c>
      <c r="E551" s="3">
        <v>5836</v>
      </c>
      <c r="F551" s="3">
        <v>3</v>
      </c>
      <c r="G551" s="3" t="s">
        <v>386</v>
      </c>
      <c r="H551" s="3" t="str">
        <f ca="1">IFERROR(__xludf.DUMMYFUNCTION("GOOGLETRANSLATE(B551,""auto"",""en"")"),"Professional musical instruments")</f>
        <v>Professional musical instruments</v>
      </c>
      <c r="I551" s="3" t="str">
        <f ca="1">IFERROR(__xludf.DUMMYFUNCTION("GOOGLETRANSLATE(C551,""auto"",""en"")"),"Violin / Viola / Cello")</f>
        <v>Violin / Viola / Cello</v>
      </c>
    </row>
    <row r="552" spans="1:9" ht="13" x14ac:dyDescent="0.15">
      <c r="A552" s="2" t="s">
        <v>383</v>
      </c>
      <c r="B552" s="2" t="s">
        <v>576</v>
      </c>
      <c r="C552" s="2" t="s">
        <v>577</v>
      </c>
      <c r="D552" s="3">
        <v>1607987</v>
      </c>
      <c r="E552" s="3">
        <v>3012</v>
      </c>
      <c r="F552" s="3">
        <v>2029</v>
      </c>
      <c r="G552" s="3" t="s">
        <v>386</v>
      </c>
      <c r="H552" s="3" t="str">
        <f ca="1">IFERROR(__xludf.DUMMYFUNCTION("GOOGLETRANSLATE(B552,""auto"",""en"")"),"Children's chess / board game")</f>
        <v>Children's chess / board game</v>
      </c>
      <c r="I552" s="3" t="str">
        <f ca="1">IFERROR(__xludf.DUMMYFUNCTION("GOOGLETRANSLATE(C552,""auto"",""en"")"),"Children's Desktop Games category")</f>
        <v>Children's Desktop Games category</v>
      </c>
    </row>
    <row r="553" spans="1:9" ht="13" x14ac:dyDescent="0.15">
      <c r="A553" s="2" t="s">
        <v>383</v>
      </c>
      <c r="B553" s="2" t="s">
        <v>576</v>
      </c>
      <c r="C553" s="2" t="s">
        <v>578</v>
      </c>
      <c r="D553" s="3">
        <v>1607987</v>
      </c>
      <c r="E553" s="3">
        <v>3012</v>
      </c>
      <c r="F553" s="3">
        <v>737</v>
      </c>
      <c r="G553" s="3" t="s">
        <v>386</v>
      </c>
      <c r="H553" s="3" t="str">
        <f ca="1">IFERROR(__xludf.DUMMYFUNCTION("GOOGLETRANSLATE(B553,""auto"",""en"")"),"Children's chess / board game")</f>
        <v>Children's chess / board game</v>
      </c>
      <c r="I553" s="3" t="str">
        <f ca="1">IFERROR(__xludf.DUMMYFUNCTION("GOOGLETRANSLATE(C553,""auto"",""en"")"),"Cube / maze / unlock category")</f>
        <v>Cube / maze / unlock category</v>
      </c>
    </row>
    <row r="554" spans="1:9" ht="13" x14ac:dyDescent="0.15">
      <c r="A554" s="2" t="s">
        <v>383</v>
      </c>
      <c r="B554" s="2" t="s">
        <v>576</v>
      </c>
      <c r="C554" s="2" t="s">
        <v>579</v>
      </c>
      <c r="D554" s="3">
        <v>1607987</v>
      </c>
      <c r="E554" s="3">
        <v>3012</v>
      </c>
      <c r="F554" s="3">
        <v>103</v>
      </c>
      <c r="G554" s="3" t="s">
        <v>386</v>
      </c>
      <c r="H554" s="3" t="str">
        <f ca="1">IFERROR(__xludf.DUMMYFUNCTION("GOOGLETRANSLATE(B554,""auto"",""en"")"),"Children's chess / board game")</f>
        <v>Children's chess / board game</v>
      </c>
      <c r="I554" s="3" t="str">
        <f ca="1">IFERROR(__xludf.DUMMYFUNCTION("GOOGLETRANSLATE(C554,""auto"",""en"")"),"Multifunctional chess")</f>
        <v>Multifunctional chess</v>
      </c>
    </row>
    <row r="555" spans="1:9" ht="13" x14ac:dyDescent="0.15">
      <c r="A555" s="2" t="s">
        <v>383</v>
      </c>
      <c r="B555" s="2" t="s">
        <v>576</v>
      </c>
      <c r="C555" s="2" t="s">
        <v>580</v>
      </c>
      <c r="D555" s="3">
        <v>1607987</v>
      </c>
      <c r="E555" s="3">
        <v>3012</v>
      </c>
      <c r="F555" s="3">
        <v>87</v>
      </c>
      <c r="G555" s="3" t="s">
        <v>386</v>
      </c>
      <c r="H555" s="3" t="str">
        <f ca="1">IFERROR(__xludf.DUMMYFUNCTION("GOOGLETRANSLATE(B555,""auto"",""en"")"),"Children's chess / board game")</f>
        <v>Children's chess / board game</v>
      </c>
      <c r="I555" s="3" t="str">
        <f ca="1">IFERROR(__xludf.DUMMYFUNCTION("GOOGLETRANSLATE(C555,""auto"",""en"")"),"Ludo")</f>
        <v>Ludo</v>
      </c>
    </row>
    <row r="556" spans="1:9" ht="13" x14ac:dyDescent="0.15">
      <c r="A556" s="2" t="s">
        <v>383</v>
      </c>
      <c r="B556" s="2" t="s">
        <v>576</v>
      </c>
      <c r="C556" s="2" t="s">
        <v>581</v>
      </c>
      <c r="D556" s="3">
        <v>1607987</v>
      </c>
      <c r="E556" s="3">
        <v>3012</v>
      </c>
      <c r="F556" s="3">
        <v>42</v>
      </c>
      <c r="G556" s="3" t="s">
        <v>386</v>
      </c>
      <c r="H556" s="3" t="str">
        <f ca="1">IFERROR(__xludf.DUMMYFUNCTION("GOOGLETRANSLATE(B556,""auto"",""en"")"),"Children's chess / board game")</f>
        <v>Children's chess / board game</v>
      </c>
      <c r="I556" s="3" t="str">
        <f ca="1">IFERROR(__xludf.DUMMYFUNCTION("GOOGLETRANSLATE(C556,""auto"",""en"")"),"checkers")</f>
        <v>checkers</v>
      </c>
    </row>
    <row r="557" spans="1:9" ht="13" x14ac:dyDescent="0.15">
      <c r="A557" s="2" t="s">
        <v>383</v>
      </c>
      <c r="B557" s="2" t="s">
        <v>576</v>
      </c>
      <c r="C557" s="2" t="s">
        <v>582</v>
      </c>
      <c r="D557" s="3">
        <v>1607987</v>
      </c>
      <c r="E557" s="3">
        <v>3012</v>
      </c>
      <c r="F557" s="3">
        <v>8</v>
      </c>
      <c r="G557" s="3" t="s">
        <v>386</v>
      </c>
      <c r="H557" s="3" t="str">
        <f ca="1">IFERROR(__xludf.DUMMYFUNCTION("GOOGLETRANSLATE(B557,""auto"",""en"")"),"Children's chess / board game")</f>
        <v>Children's chess / board game</v>
      </c>
      <c r="I557" s="3" t="str">
        <f ca="1">IFERROR(__xludf.DUMMYFUNCTION("GOOGLETRANSLATE(C557,""auto"",""en"")"),"Monopoly / Monopoly Chess")</f>
        <v>Monopoly / Monopoly Chess</v>
      </c>
    </row>
    <row r="558" spans="1:9" ht="13" x14ac:dyDescent="0.15">
      <c r="A558" s="2" t="s">
        <v>383</v>
      </c>
      <c r="B558" s="2" t="s">
        <v>576</v>
      </c>
      <c r="C558" s="2" t="s">
        <v>583</v>
      </c>
      <c r="D558" s="3">
        <v>1607987</v>
      </c>
      <c r="E558" s="3">
        <v>3012</v>
      </c>
      <c r="F558" s="3">
        <v>6</v>
      </c>
      <c r="G558" s="3" t="s">
        <v>386</v>
      </c>
      <c r="H558" s="3" t="str">
        <f ca="1">IFERROR(__xludf.DUMMYFUNCTION("GOOGLETRANSLATE(B558,""auto"",""en"")"),"Children's chess / board game")</f>
        <v>Children's chess / board game</v>
      </c>
      <c r="I558" s="3" t="str">
        <f ca="1">IFERROR(__xludf.DUMMYFUNCTION("GOOGLETRANSLATE(C558,""auto"",""en"")"),"Game Stacker")</f>
        <v>Game Stacker</v>
      </c>
    </row>
    <row r="559" spans="1:9" ht="13" x14ac:dyDescent="0.15">
      <c r="A559" s="2" t="s">
        <v>383</v>
      </c>
      <c r="B559" s="2" t="s">
        <v>584</v>
      </c>
      <c r="C559" s="2" t="s">
        <v>585</v>
      </c>
      <c r="D559" s="3">
        <v>1607987</v>
      </c>
      <c r="E559" s="3">
        <v>542</v>
      </c>
      <c r="F559" s="3">
        <v>487</v>
      </c>
      <c r="G559" s="3" t="s">
        <v>386</v>
      </c>
      <c r="H559" s="3" t="str">
        <f ca="1">IFERROR(__xludf.DUMMYFUNCTION("GOOGLETRANSLATE(B559,""auto"",""en"")"),"Electronic dictionary / electronic paper / stationery")</f>
        <v>Electronic dictionary / electronic paper / stationery</v>
      </c>
      <c r="I559" s="3" t="str">
        <f ca="1">IFERROR(__xludf.DUMMYFUNCTION("GOOGLETRANSLATE(C559,""auto"",""en"")"),"Point of time machine / point of time T")</f>
        <v>Point of time machine / point of time T</v>
      </c>
    </row>
    <row r="560" spans="1:9" ht="13" x14ac:dyDescent="0.15">
      <c r="A560" s="2" t="s">
        <v>383</v>
      </c>
      <c r="B560" s="2" t="s">
        <v>584</v>
      </c>
      <c r="C560" s="2" t="s">
        <v>586</v>
      </c>
      <c r="D560" s="3">
        <v>1607987</v>
      </c>
      <c r="E560" s="3">
        <v>542</v>
      </c>
      <c r="F560" s="3">
        <v>30</v>
      </c>
      <c r="G560" s="3" t="s">
        <v>386</v>
      </c>
      <c r="H560" s="3" t="str">
        <f ca="1">IFERROR(__xludf.DUMMYFUNCTION("GOOGLETRANSLATE(B560,""auto"",""en"")"),"Electronic dictionary / electronic paper / stationery")</f>
        <v>Electronic dictionary / electronic paper / stationery</v>
      </c>
      <c r="I560" s="3" t="str">
        <f ca="1">IFERROR(__xludf.DUMMYFUNCTION("GOOGLETRANSLATE(C560,""auto"",""en"")"),"Learning machine / electronic dictionary")</f>
        <v>Learning machine / electronic dictionary</v>
      </c>
    </row>
    <row r="561" spans="1:9" ht="13" x14ac:dyDescent="0.15">
      <c r="A561" s="2" t="s">
        <v>383</v>
      </c>
      <c r="B561" s="2" t="s">
        <v>584</v>
      </c>
      <c r="C561" s="2" t="s">
        <v>587</v>
      </c>
      <c r="D561" s="3">
        <v>1607987</v>
      </c>
      <c r="E561" s="3">
        <v>542</v>
      </c>
      <c r="F561" s="3">
        <v>24</v>
      </c>
      <c r="G561" s="3" t="s">
        <v>386</v>
      </c>
      <c r="H561" s="3" t="str">
        <f ca="1">IFERROR(__xludf.DUMMYFUNCTION("GOOGLETRANSLATE(B561,""auto"",""en"")"),"Electronic dictionary / electronic paper / stationery")</f>
        <v>Electronic dictionary / electronic paper / stationery</v>
      </c>
      <c r="I561" s="3" t="str">
        <f ca="1">IFERROR(__xludf.DUMMYFUNCTION("GOOGLETRANSLATE(C561,""auto"",""en"")"),"Electronic reader / electronic paper")</f>
        <v>Electronic reader / electronic paper</v>
      </c>
    </row>
    <row r="562" spans="1:9" ht="13" x14ac:dyDescent="0.15">
      <c r="A562" s="2" t="s">
        <v>383</v>
      </c>
      <c r="B562" s="2" t="s">
        <v>584</v>
      </c>
      <c r="C562" s="2" t="s">
        <v>588</v>
      </c>
      <c r="D562" s="3">
        <v>1607987</v>
      </c>
      <c r="E562" s="3">
        <v>542</v>
      </c>
      <c r="F562" s="3">
        <v>1</v>
      </c>
      <c r="G562" s="3" t="s">
        <v>386</v>
      </c>
      <c r="H562" s="3" t="str">
        <f ca="1">IFERROR(__xludf.DUMMYFUNCTION("GOOGLETRANSLATE(B562,""auto"",""en"")"),"Electronic dictionary / electronic paper / stationery")</f>
        <v>Electronic dictionary / electronic paper / stationery</v>
      </c>
      <c r="I562" s="3" t="str">
        <f ca="1">IFERROR(__xludf.DUMMYFUNCTION("GOOGLETRANSLATE(C562,""auto"",""en"")"),"Repeater")</f>
        <v>Repeater</v>
      </c>
    </row>
    <row r="563" spans="1:9" ht="13" x14ac:dyDescent="0.15">
      <c r="A563" s="2" t="s">
        <v>383</v>
      </c>
      <c r="B563" s="2" t="s">
        <v>589</v>
      </c>
      <c r="C563" s="2" t="s">
        <v>590</v>
      </c>
      <c r="D563" s="3">
        <v>1607987</v>
      </c>
      <c r="E563" s="3">
        <v>358</v>
      </c>
      <c r="F563" s="3">
        <v>237</v>
      </c>
      <c r="G563" s="3" t="s">
        <v>386</v>
      </c>
      <c r="H563" s="3" t="str">
        <f ca="1">IFERROR(__xludf.DUMMYFUNCTION("GOOGLETRANSLATE(B563,""auto"",""en"")"),"Computer desk / lamp / bookshelf")</f>
        <v>Computer desk / lamp / bookshelf</v>
      </c>
      <c r="I563" s="3" t="str">
        <f ca="1">IFERROR(__xludf.DUMMYFUNCTION("GOOGLETRANSLATE(C563,""auto"",""en"")"),"bookshelf")</f>
        <v>bookshelf</v>
      </c>
    </row>
    <row r="564" spans="1:9" ht="13" x14ac:dyDescent="0.15">
      <c r="A564" s="2" t="s">
        <v>383</v>
      </c>
      <c r="B564" s="2" t="s">
        <v>589</v>
      </c>
      <c r="C564" s="2" t="s">
        <v>591</v>
      </c>
      <c r="D564" s="3">
        <v>1607987</v>
      </c>
      <c r="E564" s="3">
        <v>358</v>
      </c>
      <c r="F564" s="3">
        <v>121</v>
      </c>
      <c r="G564" s="3" t="s">
        <v>386</v>
      </c>
      <c r="H564" s="3" t="str">
        <f ca="1">IFERROR(__xludf.DUMMYFUNCTION("GOOGLETRANSLATE(B564,""auto"",""en"")"),"Computer desk / lamp / bookshelf")</f>
        <v>Computer desk / lamp / bookshelf</v>
      </c>
      <c r="I564" s="3" t="str">
        <f ca="1">IFERROR(__xludf.DUMMYFUNCTION("GOOGLETRANSLATE(C564,""auto"",""en"")"),"Lamps / lighting")</f>
        <v>Lamps / lighting</v>
      </c>
    </row>
    <row r="565" spans="1:9" ht="13" x14ac:dyDescent="0.15">
      <c r="A565" s="2" t="s">
        <v>383</v>
      </c>
      <c r="B565" s="2" t="s">
        <v>592</v>
      </c>
      <c r="C565" s="2" t="s">
        <v>593</v>
      </c>
      <c r="D565" s="3">
        <v>1607987</v>
      </c>
      <c r="E565" s="3">
        <v>2</v>
      </c>
      <c r="F565" s="3">
        <v>2</v>
      </c>
      <c r="G565" s="3" t="s">
        <v>386</v>
      </c>
      <c r="H565" s="3" t="str">
        <f ca="1">IFERROR(__xludf.DUMMYFUNCTION("GOOGLETRANSLATE(B565,""auto"",""en"")"),"Music / Art / Learning")</f>
        <v>Music / Art / Learning</v>
      </c>
      <c r="I565" s="3" t="str">
        <f ca="1">IFERROR(__xludf.DUMMYFUNCTION("GOOGLETRANSLATE(C565,""auto"",""en"")"),"Learning / experimental / Painting Stationery")</f>
        <v>Learning / experimental / Painting Stationery</v>
      </c>
    </row>
    <row r="566" spans="1:9" ht="13" x14ac:dyDescent="0.15">
      <c r="A566" s="2" t="s">
        <v>594</v>
      </c>
      <c r="B566" s="2" t="s">
        <v>595</v>
      </c>
      <c r="C566" s="2" t="s">
        <v>596</v>
      </c>
      <c r="D566" s="3">
        <v>1443390</v>
      </c>
      <c r="E566" s="3">
        <v>945800</v>
      </c>
      <c r="F566" s="3">
        <v>313904</v>
      </c>
      <c r="G566" s="3" t="str">
        <f ca="1">IFERROR(__xludf.DUMMYFUNCTION("GOOGLETRANSLATE(A566,""auto"",""en"")"),"Baby Clothing")</f>
        <v>Baby Clothing</v>
      </c>
      <c r="H566" s="3" t="str">
        <f ca="1">IFERROR(__xludf.DUMMYFUNCTION("GOOGLETRANSLATE(B566,""auto"",""en"")"),"Children's clothing")</f>
        <v>Children's clothing</v>
      </c>
      <c r="I566" s="3" t="str">
        <f ca="1">IFERROR(__xludf.DUMMYFUNCTION("GOOGLETRANSLATE(C566,""auto"",""en"")"),"Other packages")</f>
        <v>Other packages</v>
      </c>
    </row>
    <row r="567" spans="1:9" ht="13" x14ac:dyDescent="0.15">
      <c r="A567" s="2" t="s">
        <v>594</v>
      </c>
      <c r="B567" s="2" t="s">
        <v>595</v>
      </c>
      <c r="C567" s="2" t="s">
        <v>597</v>
      </c>
      <c r="D567" s="3">
        <v>1443390</v>
      </c>
      <c r="E567" s="3">
        <v>945800</v>
      </c>
      <c r="F567" s="3">
        <v>146623</v>
      </c>
      <c r="G567" s="3" t="str">
        <f ca="1">IFERROR(__xludf.DUMMYFUNCTION("GOOGLETRANSLATE(A567,""auto"",""en"")"),"Baby Clothing")</f>
        <v>Baby Clothing</v>
      </c>
      <c r="H567" s="3" t="str">
        <f ca="1">IFERROR(__xludf.DUMMYFUNCTION("GOOGLETRANSLATE(B567,""auto"",""en"")"),"Children's clothing")</f>
        <v>Children's clothing</v>
      </c>
      <c r="I567" s="3" t="str">
        <f ca="1">IFERROR(__xludf.DUMMYFUNCTION("GOOGLETRANSLATE(C567,""auto"",""en"")"),"Children's dresses")</f>
        <v>Children's dresses</v>
      </c>
    </row>
    <row r="568" spans="1:9" ht="13" x14ac:dyDescent="0.15">
      <c r="A568" s="2" t="s">
        <v>594</v>
      </c>
      <c r="B568" s="2" t="s">
        <v>595</v>
      </c>
      <c r="C568" s="2" t="s">
        <v>598</v>
      </c>
      <c r="D568" s="3">
        <v>1443390</v>
      </c>
      <c r="E568" s="3">
        <v>945800</v>
      </c>
      <c r="F568" s="3">
        <v>94371</v>
      </c>
      <c r="G568" s="3" t="str">
        <f ca="1">IFERROR(__xludf.DUMMYFUNCTION("GOOGLETRANSLATE(A568,""auto"",""en"")"),"Baby Clothing")</f>
        <v>Baby Clothing</v>
      </c>
      <c r="H568" s="3" t="str">
        <f ca="1">IFERROR(__xludf.DUMMYFUNCTION("GOOGLETRANSLATE(B568,""auto"",""en"")"),"Children's clothing")</f>
        <v>Children's clothing</v>
      </c>
      <c r="I568" s="3" t="str">
        <f ca="1">IFERROR(__xludf.DUMMYFUNCTION("GOOGLETRANSLATE(C568,""auto"",""en"")"),"Children socks")</f>
        <v>Children socks</v>
      </c>
    </row>
    <row r="569" spans="1:9" ht="13" x14ac:dyDescent="0.15">
      <c r="A569" s="2" t="s">
        <v>594</v>
      </c>
      <c r="B569" s="2" t="s">
        <v>595</v>
      </c>
      <c r="C569" s="3" t="s">
        <v>599</v>
      </c>
      <c r="D569" s="3">
        <v>1443390</v>
      </c>
      <c r="E569" s="3">
        <v>945800</v>
      </c>
      <c r="F569" s="3">
        <v>89936</v>
      </c>
      <c r="G569" s="3" t="str">
        <f ca="1">IFERROR(__xludf.DUMMYFUNCTION("GOOGLETRANSLATE(A569,""auto"",""en"")"),"Baby Clothing")</f>
        <v>Baby Clothing</v>
      </c>
      <c r="H569" s="3" t="str">
        <f ca="1">IFERROR(__xludf.DUMMYFUNCTION("GOOGLETRANSLATE(B569,""auto"",""en"")"),"Children's clothing")</f>
        <v>Children's clothing</v>
      </c>
      <c r="I569" s="3" t="str">
        <f ca="1">IFERROR(__xludf.DUMMYFUNCTION("GOOGLETRANSLATE(C569,""auto"",""en"")"),"T-shirts")</f>
        <v>T-shirts</v>
      </c>
    </row>
    <row r="570" spans="1:9" ht="13" x14ac:dyDescent="0.15">
      <c r="A570" s="2" t="s">
        <v>594</v>
      </c>
      <c r="B570" s="2" t="s">
        <v>595</v>
      </c>
      <c r="C570" s="2" t="s">
        <v>600</v>
      </c>
      <c r="D570" s="3">
        <v>1443390</v>
      </c>
      <c r="E570" s="3">
        <v>945800</v>
      </c>
      <c r="F570" s="3">
        <v>68254</v>
      </c>
      <c r="G570" s="3" t="str">
        <f ca="1">IFERROR(__xludf.DUMMYFUNCTION("GOOGLETRANSLATE(A570,""auto"",""en"")"),"Baby Clothing")</f>
        <v>Baby Clothing</v>
      </c>
      <c r="H570" s="3" t="str">
        <f ca="1">IFERROR(__xludf.DUMMYFUNCTION("GOOGLETRANSLATE(B570,""auto"",""en"")"),"Children's clothing")</f>
        <v>Children's clothing</v>
      </c>
      <c r="I570" s="3" t="str">
        <f ca="1">IFERROR(__xludf.DUMMYFUNCTION("GOOGLETRANSLATE(C570,""auto"",""en"")"),"casual trousers")</f>
        <v>casual trousers</v>
      </c>
    </row>
    <row r="571" spans="1:9" ht="13" x14ac:dyDescent="0.15">
      <c r="A571" s="2" t="s">
        <v>594</v>
      </c>
      <c r="B571" s="2" t="s">
        <v>595</v>
      </c>
      <c r="C571" s="2" t="s">
        <v>601</v>
      </c>
      <c r="D571" s="3">
        <v>1443390</v>
      </c>
      <c r="E571" s="3">
        <v>945800</v>
      </c>
      <c r="F571" s="3">
        <v>46487</v>
      </c>
      <c r="G571" s="3" t="str">
        <f ca="1">IFERROR(__xludf.DUMMYFUNCTION("GOOGLETRANSLATE(A571,""auto"",""en"")"),"Baby Clothing")</f>
        <v>Baby Clothing</v>
      </c>
      <c r="H571" s="3" t="str">
        <f ca="1">IFERROR(__xludf.DUMMYFUNCTION("GOOGLETRANSLATE(B571,""auto"",""en"")"),"Children's clothing")</f>
        <v>Children's clothing</v>
      </c>
      <c r="I571" s="3" t="str">
        <f ca="1">IFERROR(__xludf.DUMMYFUNCTION("GOOGLETRANSLATE(C571,""auto"",""en"")"),"Rendering / feet / boots, pants")</f>
        <v>Rendering / feet / boots, pants</v>
      </c>
    </row>
    <row r="572" spans="1:9" ht="13" x14ac:dyDescent="0.15">
      <c r="A572" s="2" t="s">
        <v>594</v>
      </c>
      <c r="B572" s="2" t="s">
        <v>595</v>
      </c>
      <c r="C572" s="2" t="s">
        <v>602</v>
      </c>
      <c r="D572" s="3">
        <v>1443390</v>
      </c>
      <c r="E572" s="3">
        <v>945800</v>
      </c>
      <c r="F572" s="3">
        <v>36406</v>
      </c>
      <c r="G572" s="3" t="str">
        <f ca="1">IFERROR(__xludf.DUMMYFUNCTION("GOOGLETRANSLATE(A572,""auto"",""en"")"),"Baby Clothing")</f>
        <v>Baby Clothing</v>
      </c>
      <c r="H572" s="3" t="str">
        <f ca="1">IFERROR(__xludf.DUMMYFUNCTION("GOOGLETRANSLATE(B572,""auto"",""en"")"),"Children's clothing")</f>
        <v>Children's clothing</v>
      </c>
      <c r="I572" s="3" t="str">
        <f ca="1">IFERROR(__xludf.DUMMYFUNCTION("GOOGLETRANSLATE(C572,""auto"",""en"")"),"Jacket / cardigan")</f>
        <v>Jacket / cardigan</v>
      </c>
    </row>
    <row r="573" spans="1:9" ht="13" x14ac:dyDescent="0.15">
      <c r="A573" s="2" t="s">
        <v>594</v>
      </c>
      <c r="B573" s="2" t="s">
        <v>595</v>
      </c>
      <c r="C573" s="2" t="s">
        <v>603</v>
      </c>
      <c r="D573" s="3">
        <v>1443390</v>
      </c>
      <c r="E573" s="3">
        <v>945800</v>
      </c>
      <c r="F573" s="3">
        <v>28257</v>
      </c>
      <c r="G573" s="3" t="str">
        <f ca="1">IFERROR(__xludf.DUMMYFUNCTION("GOOGLETRANSLATE(A573,""auto"",""en"")"),"Baby Clothing")</f>
        <v>Baby Clothing</v>
      </c>
      <c r="H573" s="3" t="str">
        <f ca="1">IFERROR(__xludf.DUMMYFUNCTION("GOOGLETRANSLATE(B573,""auto"",""en"")"),"Children's clothing")</f>
        <v>Children's clothing</v>
      </c>
      <c r="I573" s="3" t="str">
        <f ca="1">IFERROR(__xludf.DUMMYFUNCTION("GOOGLETRANSLATE(C573,""auto"",""en"")"),"Strap dress / overalls")</f>
        <v>Strap dress / overalls</v>
      </c>
    </row>
    <row r="574" spans="1:9" ht="13" x14ac:dyDescent="0.15">
      <c r="A574" s="2" t="s">
        <v>594</v>
      </c>
      <c r="B574" s="2" t="s">
        <v>595</v>
      </c>
      <c r="C574" s="2" t="s">
        <v>604</v>
      </c>
      <c r="D574" s="3">
        <v>1443390</v>
      </c>
      <c r="E574" s="3">
        <v>945800</v>
      </c>
      <c r="F574" s="3">
        <v>26640</v>
      </c>
      <c r="G574" s="3" t="str">
        <f ca="1">IFERROR(__xludf.DUMMYFUNCTION("GOOGLETRANSLATE(A574,""auto"",""en"")"),"Baby Clothing")</f>
        <v>Baby Clothing</v>
      </c>
      <c r="H574" s="3" t="str">
        <f ca="1">IFERROR(__xludf.DUMMYFUNCTION("GOOGLETRANSLATE(B574,""auto"",""en"")"),"Children's clothing")</f>
        <v>Children's clothing</v>
      </c>
      <c r="I574" s="3" t="str">
        <f ca="1">IFERROR(__xludf.DUMMYFUNCTION("GOOGLETRANSLATE(C574,""auto"",""en"")"),"Harem pants / bloomers")</f>
        <v>Harem pants / bloomers</v>
      </c>
    </row>
    <row r="575" spans="1:9" ht="13" x14ac:dyDescent="0.15">
      <c r="A575" s="2" t="s">
        <v>594</v>
      </c>
      <c r="B575" s="2" t="s">
        <v>595</v>
      </c>
      <c r="C575" s="2" t="s">
        <v>605</v>
      </c>
      <c r="D575" s="3">
        <v>1443390</v>
      </c>
      <c r="E575" s="3">
        <v>945800</v>
      </c>
      <c r="F575" s="3">
        <v>24045</v>
      </c>
      <c r="G575" s="3" t="str">
        <f ca="1">IFERROR(__xludf.DUMMYFUNCTION("GOOGLETRANSLATE(A575,""auto"",""en"")"),"Baby Clothing")</f>
        <v>Baby Clothing</v>
      </c>
      <c r="H575" s="3" t="str">
        <f ca="1">IFERROR(__xludf.DUMMYFUNCTION("GOOGLETRANSLATE(B575,""auto"",""en"")"),"Children's clothing")</f>
        <v>Children's clothing</v>
      </c>
      <c r="I575" s="3" t="str">
        <f ca="1">IFERROR(__xludf.DUMMYFUNCTION("GOOGLETRANSLATE(C575,""auto"",""en"")"),"camisole")</f>
        <v>camisole</v>
      </c>
    </row>
    <row r="576" spans="1:9" ht="13" x14ac:dyDescent="0.15">
      <c r="A576" s="2" t="s">
        <v>594</v>
      </c>
      <c r="B576" s="2" t="s">
        <v>595</v>
      </c>
      <c r="C576" s="2" t="s">
        <v>606</v>
      </c>
      <c r="D576" s="3">
        <v>1443390</v>
      </c>
      <c r="E576" s="3">
        <v>945800</v>
      </c>
      <c r="F576" s="3">
        <v>14446</v>
      </c>
      <c r="G576" s="3" t="str">
        <f ca="1">IFERROR(__xludf.DUMMYFUNCTION("GOOGLETRANSLATE(A576,""auto"",""en"")"),"Baby Clothing")</f>
        <v>Baby Clothing</v>
      </c>
      <c r="H576" s="3" t="str">
        <f ca="1">IFERROR(__xludf.DUMMYFUNCTION("GOOGLETRANSLATE(B576,""auto"",""en"")"),"Children's clothing")</f>
        <v>Children's clothing</v>
      </c>
      <c r="I576" s="3" t="str">
        <f ca="1">IFERROR(__xludf.DUMMYFUNCTION("GOOGLETRANSLATE(C576,""auto"",""en"")"),"Vest")</f>
        <v>Vest</v>
      </c>
    </row>
    <row r="577" spans="1:9" ht="13" x14ac:dyDescent="0.15">
      <c r="A577" s="2" t="s">
        <v>594</v>
      </c>
      <c r="B577" s="2" t="s">
        <v>595</v>
      </c>
      <c r="C577" s="2" t="s">
        <v>607</v>
      </c>
      <c r="D577" s="3">
        <v>1443390</v>
      </c>
      <c r="E577" s="3">
        <v>945800</v>
      </c>
      <c r="F577" s="3">
        <v>13129</v>
      </c>
      <c r="G577" s="3" t="str">
        <f ca="1">IFERROR(__xludf.DUMMYFUNCTION("GOOGLETRANSLATE(A577,""auto"",""en"")"),"Baby Clothing")</f>
        <v>Baby Clothing</v>
      </c>
      <c r="H577" s="3" t="str">
        <f ca="1">IFERROR(__xludf.DUMMYFUNCTION("GOOGLETRANSLATE(B577,""auto"",""en"")"),"Children's clothing")</f>
        <v>Children's clothing</v>
      </c>
      <c r="I577" s="3" t="str">
        <f ca="1">IFERROR(__xludf.DUMMYFUNCTION("GOOGLETRANSLATE(C577,""auto"",""en"")"),"jeans")</f>
        <v>jeans</v>
      </c>
    </row>
    <row r="578" spans="1:9" ht="13" x14ac:dyDescent="0.15">
      <c r="A578" s="2" t="s">
        <v>594</v>
      </c>
      <c r="B578" s="2" t="s">
        <v>595</v>
      </c>
      <c r="C578" s="2" t="s">
        <v>608</v>
      </c>
      <c r="D578" s="3">
        <v>1443390</v>
      </c>
      <c r="E578" s="3">
        <v>945800</v>
      </c>
      <c r="F578" s="3">
        <v>6940</v>
      </c>
      <c r="G578" s="3" t="str">
        <f ca="1">IFERROR(__xludf.DUMMYFUNCTION("GOOGLETRANSLATE(A578,""auto"",""en"")"),"Baby Clothing")</f>
        <v>Baby Clothing</v>
      </c>
      <c r="H578" s="3" t="str">
        <f ca="1">IFERROR(__xludf.DUMMYFUNCTION("GOOGLETRANSLATE(B578,""auto"",""en"")"),"Children's clothing")</f>
        <v>Children's clothing</v>
      </c>
      <c r="I578" s="3" t="str">
        <f ca="1">IFERROR(__xludf.DUMMYFUNCTION("GOOGLETRANSLATE(C578,""auto"",""en"")"),"Jacket / cotton")</f>
        <v>Jacket / cotton</v>
      </c>
    </row>
    <row r="579" spans="1:9" ht="13" x14ac:dyDescent="0.15">
      <c r="A579" s="2" t="s">
        <v>594</v>
      </c>
      <c r="B579" s="2" t="s">
        <v>595</v>
      </c>
      <c r="C579" s="2" t="s">
        <v>609</v>
      </c>
      <c r="D579" s="3">
        <v>1443390</v>
      </c>
      <c r="E579" s="3">
        <v>945800</v>
      </c>
      <c r="F579" s="3">
        <v>6355</v>
      </c>
      <c r="G579" s="3" t="str">
        <f ca="1">IFERROR(__xludf.DUMMYFUNCTION("GOOGLETRANSLATE(A579,""auto"",""en"")"),"Baby Clothing")</f>
        <v>Baby Clothing</v>
      </c>
      <c r="H579" s="3" t="str">
        <f ca="1">IFERROR(__xludf.DUMMYFUNCTION("GOOGLETRANSLATE(B579,""auto"",""en"")"),"Children's clothing")</f>
        <v>Children's clothing</v>
      </c>
      <c r="I579" s="3" t="str">
        <f ca="1">IFERROR(__xludf.DUMMYFUNCTION("GOOGLETRANSLATE(C579,""auto"",""en"")"),"shirt")</f>
        <v>shirt</v>
      </c>
    </row>
    <row r="580" spans="1:9" ht="13" x14ac:dyDescent="0.15">
      <c r="A580" s="2" t="s">
        <v>594</v>
      </c>
      <c r="B580" s="2" t="s">
        <v>595</v>
      </c>
      <c r="C580" s="2" t="s">
        <v>610</v>
      </c>
      <c r="D580" s="3">
        <v>1443390</v>
      </c>
      <c r="E580" s="3">
        <v>945800</v>
      </c>
      <c r="F580" s="3">
        <v>5416</v>
      </c>
      <c r="G580" s="3" t="str">
        <f ca="1">IFERROR(__xludf.DUMMYFUNCTION("GOOGLETRANSLATE(A580,""auto"",""en"")"),"Baby Clothing")</f>
        <v>Baby Clothing</v>
      </c>
      <c r="H580" s="3" t="str">
        <f ca="1">IFERROR(__xludf.DUMMYFUNCTION("GOOGLETRANSLATE(B580,""auto"",""en"")"),"Children's clothing")</f>
        <v>Children's clothing</v>
      </c>
      <c r="I580" s="3" t="str">
        <f ca="1">IFERROR(__xludf.DUMMYFUNCTION("GOOGLETRANSLATE(C580,""auto"",""en"")"),"sportswear")</f>
        <v>sportswear</v>
      </c>
    </row>
    <row r="581" spans="1:9" ht="13" x14ac:dyDescent="0.15">
      <c r="A581" s="2" t="s">
        <v>594</v>
      </c>
      <c r="B581" s="2" t="s">
        <v>595</v>
      </c>
      <c r="C581" s="2" t="s">
        <v>611</v>
      </c>
      <c r="D581" s="3">
        <v>1443390</v>
      </c>
      <c r="E581" s="3">
        <v>945800</v>
      </c>
      <c r="F581" s="3">
        <v>4216</v>
      </c>
      <c r="G581" s="3" t="str">
        <f ca="1">IFERROR(__xludf.DUMMYFUNCTION("GOOGLETRANSLATE(A581,""auto"",""en"")"),"Baby Clothing")</f>
        <v>Baby Clothing</v>
      </c>
      <c r="H581" s="3" t="str">
        <f ca="1">IFERROR(__xludf.DUMMYFUNCTION("GOOGLETRANSLATE(B581,""auto"",""en"")"),"Children's clothing")</f>
        <v>Children's clothing</v>
      </c>
      <c r="I581" s="3" t="str">
        <f ca="1">IFERROR(__xludf.DUMMYFUNCTION("GOOGLETRANSLATE(C581,""auto"",""en"")"),"Cheongsam / dance clothes / costumes / dress")</f>
        <v>Cheongsam / dance clothes / costumes / dress</v>
      </c>
    </row>
    <row r="582" spans="1:9" ht="13" x14ac:dyDescent="0.15">
      <c r="A582" s="2" t="s">
        <v>594</v>
      </c>
      <c r="B582" s="2" t="s">
        <v>595</v>
      </c>
      <c r="C582" s="2" t="s">
        <v>612</v>
      </c>
      <c r="D582" s="3">
        <v>1443390</v>
      </c>
      <c r="E582" s="3">
        <v>945800</v>
      </c>
      <c r="F582" s="3">
        <v>3819</v>
      </c>
      <c r="G582" s="3" t="str">
        <f ca="1">IFERROR(__xludf.DUMMYFUNCTION("GOOGLETRANSLATE(A582,""auto"",""en"")"),"Baby Clothing")</f>
        <v>Baby Clothing</v>
      </c>
      <c r="H582" s="3" t="str">
        <f ca="1">IFERROR(__xludf.DUMMYFUNCTION("GOOGLETRANSLATE(B582,""auto"",""en"")"),"Children's clothing")</f>
        <v>Children's clothing</v>
      </c>
      <c r="I582" s="3" t="str">
        <f ca="1">IFERROR(__xludf.DUMMYFUNCTION("GOOGLETRANSLATE(C582,""auto"",""en"")"),"Children's swimwear / pants / cap")</f>
        <v>Children's swimwear / pants / cap</v>
      </c>
    </row>
    <row r="583" spans="1:9" ht="13" x14ac:dyDescent="0.15">
      <c r="A583" s="2" t="s">
        <v>594</v>
      </c>
      <c r="B583" s="2" t="s">
        <v>595</v>
      </c>
      <c r="C583" s="2" t="s">
        <v>613</v>
      </c>
      <c r="D583" s="3">
        <v>1443390</v>
      </c>
      <c r="E583" s="3">
        <v>945800</v>
      </c>
      <c r="F583" s="3">
        <v>3086</v>
      </c>
      <c r="G583" s="3" t="str">
        <f ca="1">IFERROR(__xludf.DUMMYFUNCTION("GOOGLETRANSLATE(A583,""auto"",""en"")"),"Baby Clothing")</f>
        <v>Baby Clothing</v>
      </c>
      <c r="H583" s="3" t="str">
        <f ca="1">IFERROR(__xludf.DUMMYFUNCTION("GOOGLETRANSLATE(B583,""auto"",""en"")"),"Children's clothing")</f>
        <v>Children's clothing</v>
      </c>
      <c r="I583" s="3" t="str">
        <f ca="1">IFERROR(__xludf.DUMMYFUNCTION("GOOGLETRANSLATE(C583,""auto"",""en"")"),"Down / feather liner")</f>
        <v>Down / feather liner</v>
      </c>
    </row>
    <row r="584" spans="1:9" ht="13" x14ac:dyDescent="0.15">
      <c r="A584" s="2" t="s">
        <v>594</v>
      </c>
      <c r="B584" s="2" t="s">
        <v>595</v>
      </c>
      <c r="C584" s="2" t="s">
        <v>614</v>
      </c>
      <c r="D584" s="3">
        <v>1443390</v>
      </c>
      <c r="E584" s="3">
        <v>945800</v>
      </c>
      <c r="F584" s="3">
        <v>2986</v>
      </c>
      <c r="G584" s="3" t="str">
        <f ca="1">IFERROR(__xludf.DUMMYFUNCTION("GOOGLETRANSLATE(A584,""auto"",""en"")"),"Baby Clothing")</f>
        <v>Baby Clothing</v>
      </c>
      <c r="H584" s="3" t="str">
        <f ca="1">IFERROR(__xludf.DUMMYFUNCTION("GOOGLETRANSLATE(B584,""auto"",""en"")"),"Children's clothing")</f>
        <v>Children's clothing</v>
      </c>
      <c r="I584" s="3" t="str">
        <f ca="1">IFERROR(__xludf.DUMMYFUNCTION("GOOGLETRANSLATE(C584,""auto"",""en"")"),"Sweatpants")</f>
        <v>Sweatpants</v>
      </c>
    </row>
    <row r="585" spans="1:9" ht="13" x14ac:dyDescent="0.15">
      <c r="A585" s="2" t="s">
        <v>594</v>
      </c>
      <c r="B585" s="2" t="s">
        <v>595</v>
      </c>
      <c r="C585" s="2" t="s">
        <v>615</v>
      </c>
      <c r="D585" s="3">
        <v>1443390</v>
      </c>
      <c r="E585" s="3">
        <v>945800</v>
      </c>
      <c r="F585" s="3">
        <v>2304</v>
      </c>
      <c r="G585" s="3" t="str">
        <f ca="1">IFERROR(__xludf.DUMMYFUNCTION("GOOGLETRANSLATE(A585,""auto"",""en"")"),"Baby Clothing")</f>
        <v>Baby Clothing</v>
      </c>
      <c r="H585" s="3" t="str">
        <f ca="1">IFERROR(__xludf.DUMMYFUNCTION("GOOGLETRANSLATE(B585,""auto"",""en"")"),"Children's clothing")</f>
        <v>Children's clothing</v>
      </c>
      <c r="I585" s="3" t="str">
        <f ca="1">IFERROR(__xludf.DUMMYFUNCTION("GOOGLETRANSLATE(C585,""auto"",""en"")"),"Sweater / sweater")</f>
        <v>Sweater / sweater</v>
      </c>
    </row>
    <row r="586" spans="1:9" ht="13" x14ac:dyDescent="0.15">
      <c r="A586" s="2" t="s">
        <v>594</v>
      </c>
      <c r="B586" s="2" t="s">
        <v>595</v>
      </c>
      <c r="C586" s="2" t="s">
        <v>616</v>
      </c>
      <c r="D586" s="3">
        <v>1443390</v>
      </c>
      <c r="E586" s="3">
        <v>945800</v>
      </c>
      <c r="F586" s="3">
        <v>2263</v>
      </c>
      <c r="G586" s="3" t="str">
        <f ca="1">IFERROR(__xludf.DUMMYFUNCTION("GOOGLETRANSLATE(A586,""auto"",""en"")"),"Baby Clothing")</f>
        <v>Baby Clothing</v>
      </c>
      <c r="H586" s="3" t="str">
        <f ca="1">IFERROR(__xludf.DUMMYFUNCTION("GOOGLETRANSLATE(B586,""auto"",""en"")"),"Children's clothing")</f>
        <v>Children's clothing</v>
      </c>
      <c r="I586" s="3" t="str">
        <f ca="1">IFERROR(__xludf.DUMMYFUNCTION("GOOGLETRANSLATE(C586,""auto"",""en"")"),"Coats / windbreaker")</f>
        <v>Coats / windbreaker</v>
      </c>
    </row>
    <row r="587" spans="1:9" ht="13" x14ac:dyDescent="0.15">
      <c r="A587" s="2" t="s">
        <v>594</v>
      </c>
      <c r="B587" s="2" t="s">
        <v>595</v>
      </c>
      <c r="C587" s="2" t="s">
        <v>617</v>
      </c>
      <c r="D587" s="3">
        <v>1443390</v>
      </c>
      <c r="E587" s="3">
        <v>945800</v>
      </c>
      <c r="F587" s="3">
        <v>2206</v>
      </c>
      <c r="G587" s="3" t="str">
        <f ca="1">IFERROR(__xludf.DUMMYFUNCTION("GOOGLETRANSLATE(A587,""auto"",""en"")"),"Baby Clothing")</f>
        <v>Baby Clothing</v>
      </c>
      <c r="H587" s="3" t="str">
        <f ca="1">IFERROR(__xludf.DUMMYFUNCTION("GOOGLETRANSLATE(B587,""auto"",""en"")"),"Children's clothing")</f>
        <v>Children's clothing</v>
      </c>
      <c r="I587" s="3" t="str">
        <f ca="1">IFERROR(__xludf.DUMMYFUNCTION("GOOGLETRANSLATE(C587,""auto"",""en"")"),"skirt")</f>
        <v>skirt</v>
      </c>
    </row>
    <row r="588" spans="1:9" ht="13" x14ac:dyDescent="0.15">
      <c r="A588" s="2" t="s">
        <v>594</v>
      </c>
      <c r="B588" s="2" t="s">
        <v>595</v>
      </c>
      <c r="C588" s="2" t="s">
        <v>618</v>
      </c>
      <c r="D588" s="3">
        <v>1443390</v>
      </c>
      <c r="E588" s="3">
        <v>945800</v>
      </c>
      <c r="F588" s="3">
        <v>2005</v>
      </c>
      <c r="G588" s="3" t="str">
        <f ca="1">IFERROR(__xludf.DUMMYFUNCTION("GOOGLETRANSLATE(A588,""auto"",""en"")"),"Baby Clothing")</f>
        <v>Baby Clothing</v>
      </c>
      <c r="H588" s="3" t="str">
        <f ca="1">IFERROR(__xludf.DUMMYFUNCTION("GOOGLETRANSLATE(B588,""auto"",""en"")"),"Children's clothing")</f>
        <v>Children's clothing</v>
      </c>
      <c r="I588" s="3" t="str">
        <f ca="1">IFERROR(__xludf.DUMMYFUNCTION("GOOGLETRANSLATE(C588,""auto"",""en"")"),"Sweater / Fleece")</f>
        <v>Sweater / Fleece</v>
      </c>
    </row>
    <row r="589" spans="1:9" ht="13" x14ac:dyDescent="0.15">
      <c r="A589" s="2" t="s">
        <v>594</v>
      </c>
      <c r="B589" s="2" t="s">
        <v>595</v>
      </c>
      <c r="C589" s="2" t="s">
        <v>619</v>
      </c>
      <c r="D589" s="3">
        <v>1443390</v>
      </c>
      <c r="E589" s="3">
        <v>945800</v>
      </c>
      <c r="F589" s="3">
        <v>1072</v>
      </c>
      <c r="G589" s="3" t="str">
        <f ca="1">IFERROR(__xludf.DUMMYFUNCTION("GOOGLETRANSLATE(A589,""auto"",""en"")"),"Baby Clothing")</f>
        <v>Baby Clothing</v>
      </c>
      <c r="H589" s="3" t="str">
        <f ca="1">IFERROR(__xludf.DUMMYFUNCTION("GOOGLETRANSLATE(B589,""auto"",""en"")"),"Children's clothing")</f>
        <v>Children's clothing</v>
      </c>
      <c r="I589" s="3" t="str">
        <f ca="1">IFERROR(__xludf.DUMMYFUNCTION("GOOGLETRANSLATE(C589,""auto"",""en"")"),"Cloak / cape")</f>
        <v>Cloak / cape</v>
      </c>
    </row>
    <row r="590" spans="1:9" ht="13" x14ac:dyDescent="0.15">
      <c r="A590" s="2" t="s">
        <v>594</v>
      </c>
      <c r="B590" s="2" t="s">
        <v>595</v>
      </c>
      <c r="C590" s="2" t="s">
        <v>620</v>
      </c>
      <c r="D590" s="3">
        <v>1443390</v>
      </c>
      <c r="E590" s="3">
        <v>945800</v>
      </c>
      <c r="F590" s="3">
        <v>324</v>
      </c>
      <c r="G590" s="3" t="str">
        <f ca="1">IFERROR(__xludf.DUMMYFUNCTION("GOOGLETRANSLATE(A590,""auto"",""en"")"),"Baby Clothing")</f>
        <v>Baby Clothing</v>
      </c>
      <c r="H590" s="3" t="str">
        <f ca="1">IFERROR(__xludf.DUMMYFUNCTION("GOOGLETRANSLATE(B590,""auto"",""en"")"),"Children's clothing")</f>
        <v>Children's clothing</v>
      </c>
      <c r="I590" s="3" t="str">
        <f ca="1">IFERROR(__xludf.DUMMYFUNCTION("GOOGLETRANSLATE(C590,""auto"",""en"")"),"Jacket / leather")</f>
        <v>Jacket / leather</v>
      </c>
    </row>
    <row r="591" spans="1:9" ht="13" x14ac:dyDescent="0.15">
      <c r="A591" s="2" t="s">
        <v>594</v>
      </c>
      <c r="B591" s="2" t="s">
        <v>595</v>
      </c>
      <c r="C591" s="2" t="s">
        <v>621</v>
      </c>
      <c r="D591" s="3">
        <v>1443390</v>
      </c>
      <c r="E591" s="3">
        <v>945800</v>
      </c>
      <c r="F591" s="3">
        <v>319</v>
      </c>
      <c r="G591" s="3" t="str">
        <f ca="1">IFERROR(__xludf.DUMMYFUNCTION("GOOGLETRANSLATE(A591,""auto"",""en"")"),"Baby Clothing")</f>
        <v>Baby Clothing</v>
      </c>
      <c r="H591" s="3" t="str">
        <f ca="1">IFERROR(__xludf.DUMMYFUNCTION("GOOGLETRANSLATE(B591,""auto"",""en"")"),"Children's clothing")</f>
        <v>Children's clothing</v>
      </c>
      <c r="I591" s="3" t="str">
        <f ca="1">IFERROR(__xludf.DUMMYFUNCTION("GOOGLETRANSLATE(C591,""auto"",""en"")"),"Other Tops (to be deleted)")</f>
        <v>Other Tops (to be deleted)</v>
      </c>
    </row>
    <row r="592" spans="1:9" ht="13" x14ac:dyDescent="0.15">
      <c r="A592" s="2" t="s">
        <v>594</v>
      </c>
      <c r="B592" s="2" t="s">
        <v>595</v>
      </c>
      <c r="C592" s="2" t="s">
        <v>622</v>
      </c>
      <c r="D592" s="3">
        <v>1443390</v>
      </c>
      <c r="E592" s="3">
        <v>945800</v>
      </c>
      <c r="F592" s="3">
        <v>193</v>
      </c>
      <c r="G592" s="3" t="str">
        <f ca="1">IFERROR(__xludf.DUMMYFUNCTION("GOOGLETRANSLATE(A592,""auto"",""en"")"),"Baby Clothing")</f>
        <v>Baby Clothing</v>
      </c>
      <c r="H592" s="3" t="str">
        <f ca="1">IFERROR(__xludf.DUMMYFUNCTION("GOOGLETRANSLATE(B592,""auto"",""en"")"),"Children's clothing")</f>
        <v>Children's clothing</v>
      </c>
      <c r="I592" s="3" t="str">
        <f ca="1">IFERROR(__xludf.DUMMYFUNCTION("GOOGLETRANSLATE(C592,""auto"",""en"")"),"Other Bottoms")</f>
        <v>Other Bottoms</v>
      </c>
    </row>
    <row r="593" spans="1:9" ht="13" x14ac:dyDescent="0.15">
      <c r="A593" s="2" t="s">
        <v>594</v>
      </c>
      <c r="B593" s="2" t="s">
        <v>595</v>
      </c>
      <c r="C593" s="2" t="s">
        <v>623</v>
      </c>
      <c r="D593" s="3">
        <v>1443390</v>
      </c>
      <c r="E593" s="3">
        <v>945800</v>
      </c>
      <c r="F593" s="3">
        <v>103</v>
      </c>
      <c r="G593" s="3" t="str">
        <f ca="1">IFERROR(__xludf.DUMMYFUNCTION("GOOGLETRANSLATE(A593,""auto"",""en"")"),"Baby Clothing")</f>
        <v>Baby Clothing</v>
      </c>
      <c r="H593" s="3" t="str">
        <f ca="1">IFERROR(__xludf.DUMMYFUNCTION("GOOGLETRANSLATE(B593,""auto"",""en"")"),"Children's clothing")</f>
        <v>Children's clothing</v>
      </c>
      <c r="I593" s="3" t="str">
        <f ca="1">IFERROR(__xludf.DUMMYFUNCTION("GOOGLETRANSLATE(C593,""auto"",""en"")"),"Suit / small suit")</f>
        <v>Suit / small suit</v>
      </c>
    </row>
    <row r="594" spans="1:9" ht="13" x14ac:dyDescent="0.15">
      <c r="A594" s="2" t="s">
        <v>594</v>
      </c>
      <c r="B594" s="2" t="s">
        <v>595</v>
      </c>
      <c r="C594" s="2" t="s">
        <v>624</v>
      </c>
      <c r="D594" s="3">
        <v>1443390</v>
      </c>
      <c r="E594" s="3">
        <v>945800</v>
      </c>
      <c r="F594" s="3">
        <v>6</v>
      </c>
      <c r="G594" s="3" t="str">
        <f ca="1">IFERROR(__xludf.DUMMYFUNCTION("GOOGLETRANSLATE(A594,""auto"",""en"")"),"Baby Clothing")</f>
        <v>Baby Clothing</v>
      </c>
      <c r="H594" s="3" t="str">
        <f ca="1">IFERROR(__xludf.DUMMYFUNCTION("GOOGLETRANSLATE(B594,""auto"",""en"")"),"Children's clothing")</f>
        <v>Children's clothing</v>
      </c>
      <c r="I594" s="3" t="str">
        <f ca="1">IFERROR(__xludf.DUMMYFUNCTION("GOOGLETRANSLATE(C594,""auto"",""en"")"),"Other accessories")</f>
        <v>Other accessories</v>
      </c>
    </row>
    <row r="595" spans="1:9" ht="13" x14ac:dyDescent="0.15">
      <c r="A595" s="2" t="s">
        <v>594</v>
      </c>
      <c r="B595" s="2" t="s">
        <v>595</v>
      </c>
      <c r="C595" s="2" t="s">
        <v>625</v>
      </c>
      <c r="D595" s="3">
        <v>1443390</v>
      </c>
      <c r="E595" s="3">
        <v>945800</v>
      </c>
      <c r="F595" s="3">
        <v>4</v>
      </c>
      <c r="G595" s="3" t="str">
        <f ca="1">IFERROR(__xludf.DUMMYFUNCTION("GOOGLETRANSLATE(A595,""auto"",""en"")"),"Baby Clothing")</f>
        <v>Baby Clothing</v>
      </c>
      <c r="H595" s="3" t="str">
        <f ca="1">IFERROR(__xludf.DUMMYFUNCTION("GOOGLETRANSLATE(B595,""auto"",""en"")"),"Children's clothing")</f>
        <v>Children's clothing</v>
      </c>
      <c r="I595" s="3" t="str">
        <f ca="1">IFERROR(__xludf.DUMMYFUNCTION("GOOGLETRANSLATE(C595,""auto"",""en"")"),"dress")</f>
        <v>dress</v>
      </c>
    </row>
    <row r="596" spans="1:9" ht="13" x14ac:dyDescent="0.15">
      <c r="A596" s="2" t="s">
        <v>594</v>
      </c>
      <c r="B596" s="2" t="s">
        <v>595</v>
      </c>
      <c r="C596" s="2" t="s">
        <v>626</v>
      </c>
      <c r="D596" s="3">
        <v>1443390</v>
      </c>
      <c r="E596" s="3">
        <v>945800</v>
      </c>
      <c r="F596" s="3">
        <v>1</v>
      </c>
      <c r="G596" s="3" t="str">
        <f ca="1">IFERROR(__xludf.DUMMYFUNCTION("GOOGLETRANSLATE(A596,""auto"",""en"")"),"Baby Clothing")</f>
        <v>Baby Clothing</v>
      </c>
      <c r="H596" s="3" t="str">
        <f ca="1">IFERROR(__xludf.DUMMYFUNCTION("GOOGLETRANSLATE(B596,""auto"",""en"")"),"Children's clothing")</f>
        <v>Children's clothing</v>
      </c>
      <c r="I596" s="3" t="str">
        <f ca="1">IFERROR(__xludf.DUMMYFUNCTION("GOOGLETRANSLATE(C596,""auto"",""en"")"),"underwear")</f>
        <v>underwear</v>
      </c>
    </row>
    <row r="597" spans="1:9" ht="13" x14ac:dyDescent="0.15">
      <c r="A597" s="2" t="s">
        <v>594</v>
      </c>
      <c r="B597" s="2" t="s">
        <v>627</v>
      </c>
      <c r="C597" s="2" t="s">
        <v>628</v>
      </c>
      <c r="D597" s="3">
        <v>1443390</v>
      </c>
      <c r="E597" s="3">
        <v>299449</v>
      </c>
      <c r="F597" s="3">
        <v>125200</v>
      </c>
      <c r="G597" s="3" t="str">
        <f ca="1">IFERROR(__xludf.DUMMYFUNCTION("GOOGLETRANSLATE(A597,""auto"",""en"")"),"Baby Clothing")</f>
        <v>Baby Clothing</v>
      </c>
      <c r="H597" s="3" t="str">
        <f ca="1">IFERROR(__xludf.DUMMYFUNCTION("GOOGLETRANSLATE(B597,""auto"",""en"")"),"Baby clothes")</f>
        <v>Baby clothes</v>
      </c>
      <c r="I597" s="3" t="str">
        <f ca="1">IFERROR(__xludf.DUMMYFUNCTION("GOOGLETRANSLATE(C597,""auto"",""en"")"),"Romper / climbing clothing / jumpsuit")</f>
        <v>Romper / climbing clothing / jumpsuit</v>
      </c>
    </row>
    <row r="598" spans="1:9" ht="13" x14ac:dyDescent="0.15">
      <c r="A598" s="2" t="s">
        <v>594</v>
      </c>
      <c r="B598" s="2" t="s">
        <v>627</v>
      </c>
      <c r="C598" s="2" t="s">
        <v>629</v>
      </c>
      <c r="D598" s="3">
        <v>1443390</v>
      </c>
      <c r="E598" s="3">
        <v>299449</v>
      </c>
      <c r="F598" s="3">
        <v>79341</v>
      </c>
      <c r="G598" s="3" t="str">
        <f ca="1">IFERROR(__xludf.DUMMYFUNCTION("GOOGLETRANSLATE(A598,""auto"",""en"")"),"Baby Clothing")</f>
        <v>Baby Clothing</v>
      </c>
      <c r="H598" s="3" t="str">
        <f ca="1">IFERROR(__xludf.DUMMYFUNCTION("GOOGLETRANSLATE(B598,""auto"",""en"")"),"Baby clothes")</f>
        <v>Baby clothes</v>
      </c>
      <c r="I598" s="3" t="str">
        <f ca="1">IFERROR(__xludf.DUMMYFUNCTION("GOOGLETRANSLATE(C598,""auto"",""en"")"),"Baby suits")</f>
        <v>Baby suits</v>
      </c>
    </row>
    <row r="599" spans="1:9" ht="13" x14ac:dyDescent="0.15">
      <c r="A599" s="2" t="s">
        <v>594</v>
      </c>
      <c r="B599" s="2" t="s">
        <v>627</v>
      </c>
      <c r="C599" s="2" t="s">
        <v>630</v>
      </c>
      <c r="D599" s="3">
        <v>1443390</v>
      </c>
      <c r="E599" s="3">
        <v>299449</v>
      </c>
      <c r="F599" s="3">
        <v>33293</v>
      </c>
      <c r="G599" s="3" t="str">
        <f ca="1">IFERROR(__xludf.DUMMYFUNCTION("GOOGLETRANSLATE(A599,""auto"",""en"")"),"Baby Clothing")</f>
        <v>Baby Clothing</v>
      </c>
      <c r="H599" s="3" t="str">
        <f ca="1">IFERROR(__xludf.DUMMYFUNCTION("GOOGLETRANSLATE(B599,""auto"",""en"")"),"Baby clothes")</f>
        <v>Baby clothes</v>
      </c>
      <c r="I599" s="3" t="str">
        <f ca="1">IFERROR(__xludf.DUMMYFUNCTION("GOOGLETRANSLATE(C599,""auto"",""en"")"),"Apron")</f>
        <v>Apron</v>
      </c>
    </row>
    <row r="600" spans="1:9" ht="13" x14ac:dyDescent="0.15">
      <c r="A600" s="2" t="s">
        <v>594</v>
      </c>
      <c r="B600" s="2" t="s">
        <v>627</v>
      </c>
      <c r="C600" s="2" t="s">
        <v>631</v>
      </c>
      <c r="D600" s="3">
        <v>1443390</v>
      </c>
      <c r="E600" s="3">
        <v>299449</v>
      </c>
      <c r="F600" s="3">
        <v>22789</v>
      </c>
      <c r="G600" s="3" t="str">
        <f ca="1">IFERROR(__xludf.DUMMYFUNCTION("GOOGLETRANSLATE(A600,""auto"",""en"")"),"Baby Clothing")</f>
        <v>Baby Clothing</v>
      </c>
      <c r="H600" s="3" t="str">
        <f ca="1">IFERROR(__xludf.DUMMYFUNCTION("GOOGLETRANSLATE(B600,""auto"",""en"")"),"Baby clothes")</f>
        <v>Baby clothes</v>
      </c>
      <c r="I600" s="3" t="str">
        <f ca="1">IFERROR(__xludf.DUMMYFUNCTION("GOOGLETRANSLATE(C600,""auto"",""en"")"),"Baby Underwear")</f>
        <v>Baby Underwear</v>
      </c>
    </row>
    <row r="601" spans="1:9" ht="13" x14ac:dyDescent="0.15">
      <c r="A601" s="2" t="s">
        <v>594</v>
      </c>
      <c r="B601" s="2" t="s">
        <v>627</v>
      </c>
      <c r="C601" s="2" t="s">
        <v>632</v>
      </c>
      <c r="D601" s="3">
        <v>1443390</v>
      </c>
      <c r="E601" s="3">
        <v>299449</v>
      </c>
      <c r="F601" s="3">
        <v>8380</v>
      </c>
      <c r="G601" s="3" t="str">
        <f ca="1">IFERROR(__xludf.DUMMYFUNCTION("GOOGLETRANSLATE(A601,""auto"",""en"")"),"Baby Clothing")</f>
        <v>Baby Clothing</v>
      </c>
      <c r="H601" s="3" t="str">
        <f ca="1">IFERROR(__xludf.DUMMYFUNCTION("GOOGLETRANSLATE(B601,""auto"",""en"")"),"Baby clothes")</f>
        <v>Baby clothes</v>
      </c>
      <c r="I601" s="3" t="str">
        <f ca="1">IFERROR(__xludf.DUMMYFUNCTION("GOOGLETRANSLATE(C601,""auto"",""en"")"),"Pants / big PP pants")</f>
        <v>Pants / big PP pants</v>
      </c>
    </row>
    <row r="602" spans="1:9" ht="13" x14ac:dyDescent="0.15">
      <c r="A602" s="2" t="s">
        <v>594</v>
      </c>
      <c r="B602" s="2" t="s">
        <v>627</v>
      </c>
      <c r="C602" s="2" t="s">
        <v>633</v>
      </c>
      <c r="D602" s="3">
        <v>1443390</v>
      </c>
      <c r="E602" s="3">
        <v>299449</v>
      </c>
      <c r="F602" s="3">
        <v>6413</v>
      </c>
      <c r="G602" s="3" t="str">
        <f ca="1">IFERROR(__xludf.DUMMYFUNCTION("GOOGLETRANSLATE(A602,""auto"",""en"")"),"Baby Clothing")</f>
        <v>Baby Clothing</v>
      </c>
      <c r="H602" s="3" t="str">
        <f ca="1">IFERROR(__xludf.DUMMYFUNCTION("GOOGLETRANSLATE(B602,""auto"",""en"")"),"Baby clothes")</f>
        <v>Baby clothes</v>
      </c>
      <c r="I602" s="3" t="str">
        <f ca="1">IFERROR(__xludf.DUMMYFUNCTION("GOOGLETRANSLATE(C602,""auto"",""en"")"),"Anti grasping gloves / Baby Socks")</f>
        <v>Anti grasping gloves / Baby Socks</v>
      </c>
    </row>
    <row r="603" spans="1:9" ht="13" x14ac:dyDescent="0.15">
      <c r="A603" s="2" t="s">
        <v>594</v>
      </c>
      <c r="B603" s="2" t="s">
        <v>627</v>
      </c>
      <c r="C603" s="2" t="s">
        <v>634</v>
      </c>
      <c r="D603" s="3">
        <v>1443390</v>
      </c>
      <c r="E603" s="3">
        <v>299449</v>
      </c>
      <c r="F603" s="3">
        <v>5792</v>
      </c>
      <c r="G603" s="3" t="str">
        <f ca="1">IFERROR(__xludf.DUMMYFUNCTION("GOOGLETRANSLATE(A603,""auto"",""en"")"),"Baby Clothing")</f>
        <v>Baby Clothing</v>
      </c>
      <c r="H603" s="3" t="str">
        <f ca="1">IFERROR(__xludf.DUMMYFUNCTION("GOOGLETRANSLATE(B603,""auto"",""en"")"),"Baby clothes")</f>
        <v>Baby clothes</v>
      </c>
      <c r="I603" s="3" t="str">
        <f ca="1">IFERROR(__xludf.DUMMYFUNCTION("GOOGLETRANSLATE(C603,""auto"",""en"")"),"Baby Gift")</f>
        <v>Baby Gift</v>
      </c>
    </row>
    <row r="604" spans="1:9" ht="13" x14ac:dyDescent="0.15">
      <c r="A604" s="2" t="s">
        <v>594</v>
      </c>
      <c r="B604" s="2" t="s">
        <v>627</v>
      </c>
      <c r="C604" s="2" t="s">
        <v>635</v>
      </c>
      <c r="D604" s="3">
        <v>1443390</v>
      </c>
      <c r="E604" s="3">
        <v>299449</v>
      </c>
      <c r="F604" s="3">
        <v>4397</v>
      </c>
      <c r="G604" s="3" t="str">
        <f ca="1">IFERROR(__xludf.DUMMYFUNCTION("GOOGLETRANSLATE(A604,""auto"",""en"")"),"Baby Clothing")</f>
        <v>Baby Clothing</v>
      </c>
      <c r="H604" s="3" t="str">
        <f ca="1">IFERROR(__xludf.DUMMYFUNCTION("GOOGLETRANSLATE(B604,""auto"",""en"")"),"Baby clothes")</f>
        <v>Baby clothes</v>
      </c>
      <c r="I604" s="3" t="str">
        <f ca="1">IFERROR(__xludf.DUMMYFUNCTION("GOOGLETRANSLATE(C604,""auto"",""en"")"),"Anti dress / gown / cuff / bib")</f>
        <v>Anti dress / gown / cuff / bib</v>
      </c>
    </row>
    <row r="605" spans="1:9" ht="13" x14ac:dyDescent="0.15">
      <c r="A605" s="2" t="s">
        <v>594</v>
      </c>
      <c r="B605" s="2" t="s">
        <v>627</v>
      </c>
      <c r="C605" s="2" t="s">
        <v>636</v>
      </c>
      <c r="D605" s="3">
        <v>1443390</v>
      </c>
      <c r="E605" s="3">
        <v>299449</v>
      </c>
      <c r="F605" s="3">
        <v>3982</v>
      </c>
      <c r="G605" s="3" t="str">
        <f ca="1">IFERROR(__xludf.DUMMYFUNCTION("GOOGLETRANSLATE(A605,""auto"",""en"")"),"Baby Clothing")</f>
        <v>Baby Clothing</v>
      </c>
      <c r="H605" s="3" t="str">
        <f ca="1">IFERROR(__xludf.DUMMYFUNCTION("GOOGLETRANSLATE(B605,""auto"",""en"")"),"Baby clothes")</f>
        <v>Baby clothes</v>
      </c>
      <c r="I605" s="3" t="str">
        <f ca="1">IFERROR(__xludf.DUMMYFUNCTION("GOOGLETRANSLATE(C605,""auto"",""en"")"),"Umbilical cord care")</f>
        <v>Umbilical cord care</v>
      </c>
    </row>
    <row r="606" spans="1:9" ht="13" x14ac:dyDescent="0.15">
      <c r="A606" s="2" t="s">
        <v>594</v>
      </c>
      <c r="B606" s="2" t="s">
        <v>627</v>
      </c>
      <c r="C606" s="3" t="s">
        <v>637</v>
      </c>
      <c r="D606" s="3">
        <v>1443390</v>
      </c>
      <c r="E606" s="3">
        <v>299449</v>
      </c>
      <c r="F606" s="3">
        <v>2826</v>
      </c>
      <c r="G606" s="3" t="str">
        <f ca="1">IFERROR(__xludf.DUMMYFUNCTION("GOOGLETRANSLATE(A606,""auto"",""en"")"),"Baby Clothing")</f>
        <v>Baby Clothing</v>
      </c>
      <c r="H606" s="3" t="str">
        <f ca="1">IFERROR(__xludf.DUMMYFUNCTION("GOOGLETRANSLATE(B606,""auto"",""en"")"),"Baby clothes")</f>
        <v>Baby clothes</v>
      </c>
      <c r="I606" s="3" t="str">
        <f ca="1">IFERROR(__xludf.DUMMYFUNCTION("GOOGLETRANSLATE(C606,""auto"",""en"")"),"T-shirt / T-shirt")</f>
        <v>T-shirt / T-shirt</v>
      </c>
    </row>
    <row r="607" spans="1:9" ht="13" x14ac:dyDescent="0.15">
      <c r="A607" s="2" t="s">
        <v>594</v>
      </c>
      <c r="B607" s="2" t="s">
        <v>627</v>
      </c>
      <c r="C607" s="2" t="s">
        <v>638</v>
      </c>
      <c r="D607" s="3">
        <v>1443390</v>
      </c>
      <c r="E607" s="3">
        <v>299449</v>
      </c>
      <c r="F607" s="3">
        <v>2257</v>
      </c>
      <c r="G607" s="3" t="str">
        <f ca="1">IFERROR(__xludf.DUMMYFUNCTION("GOOGLETRANSLATE(A607,""auto"",""en"")"),"Baby Clothing")</f>
        <v>Baby Clothing</v>
      </c>
      <c r="H607" s="3" t="str">
        <f ca="1">IFERROR(__xludf.DUMMYFUNCTION("GOOGLETRANSLATE(B607,""auto"",""en"")"),"Baby clothes")</f>
        <v>Baby clothes</v>
      </c>
      <c r="I607" s="3" t="str">
        <f ca="1">IFERROR(__xludf.DUMMYFUNCTION("GOOGLETRANSLATE(C607,""auto"",""en"")"),"Baby Dress")</f>
        <v>Baby Dress</v>
      </c>
    </row>
    <row r="608" spans="1:9" ht="13" x14ac:dyDescent="0.15">
      <c r="A608" s="2" t="s">
        <v>594</v>
      </c>
      <c r="B608" s="2" t="s">
        <v>627</v>
      </c>
      <c r="C608" s="2" t="s">
        <v>639</v>
      </c>
      <c r="D608" s="3">
        <v>1443390</v>
      </c>
      <c r="E608" s="3">
        <v>299449</v>
      </c>
      <c r="F608" s="3">
        <v>2022</v>
      </c>
      <c r="G608" s="3" t="str">
        <f ca="1">IFERROR(__xludf.DUMMYFUNCTION("GOOGLETRANSLATE(A608,""auto"",""en"")"),"Baby Clothing")</f>
        <v>Baby Clothing</v>
      </c>
      <c r="H608" s="3" t="str">
        <f ca="1">IFERROR(__xludf.DUMMYFUNCTION("GOOGLETRANSLATE(B608,""auto"",""en"")"),"Baby clothes")</f>
        <v>Baby clothes</v>
      </c>
      <c r="I608" s="3" t="str">
        <f ca="1">IFERROR(__xludf.DUMMYFUNCTION("GOOGLETRANSLATE(C608,""auto"",""en"")"),"pants")</f>
        <v>pants</v>
      </c>
    </row>
    <row r="609" spans="1:9" ht="13" x14ac:dyDescent="0.15">
      <c r="A609" s="2" t="s">
        <v>594</v>
      </c>
      <c r="B609" s="2" t="s">
        <v>627</v>
      </c>
      <c r="C609" s="2" t="s">
        <v>640</v>
      </c>
      <c r="D609" s="3">
        <v>1443390</v>
      </c>
      <c r="E609" s="3">
        <v>299449</v>
      </c>
      <c r="F609" s="3">
        <v>1433</v>
      </c>
      <c r="G609" s="3" t="str">
        <f ca="1">IFERROR(__xludf.DUMMYFUNCTION("GOOGLETRANSLATE(A609,""auto"",""en"")"),"Baby Clothing")</f>
        <v>Baby Clothing</v>
      </c>
      <c r="H609" s="3" t="str">
        <f ca="1">IFERROR(__xludf.DUMMYFUNCTION("GOOGLETRANSLATE(B609,""auto"",""en"")"),"Baby clothes")</f>
        <v>Baby clothes</v>
      </c>
      <c r="I609" s="3" t="str">
        <f ca="1">IFERROR(__xludf.DUMMYFUNCTION("GOOGLETRANSLATE(C609,""auto"",""en"")"),"Vest / vest")</f>
        <v>Vest / vest</v>
      </c>
    </row>
    <row r="610" spans="1:9" ht="13" x14ac:dyDescent="0.15">
      <c r="A610" s="2" t="s">
        <v>594</v>
      </c>
      <c r="B610" s="2" t="s">
        <v>627</v>
      </c>
      <c r="C610" s="2" t="s">
        <v>641</v>
      </c>
      <c r="D610" s="3">
        <v>1443390</v>
      </c>
      <c r="E610" s="3">
        <v>299449</v>
      </c>
      <c r="F610" s="3">
        <v>530</v>
      </c>
      <c r="G610" s="3" t="str">
        <f ca="1">IFERROR(__xludf.DUMMYFUNCTION("GOOGLETRANSLATE(A610,""auto"",""en"")"),"Baby Clothing")</f>
        <v>Baby Clothing</v>
      </c>
      <c r="H610" s="3" t="str">
        <f ca="1">IFERROR(__xludf.DUMMYFUNCTION("GOOGLETRANSLATE(B610,""auto"",""en"")"),"Baby clothes")</f>
        <v>Baby clothes</v>
      </c>
      <c r="I610" s="3" t="str">
        <f ca="1">IFERROR(__xludf.DUMMYFUNCTION("GOOGLETRANSLATE(C610,""auto"",""en"")"),"Baby T-shirt")</f>
        <v>Baby T-shirt</v>
      </c>
    </row>
    <row r="611" spans="1:9" ht="13" x14ac:dyDescent="0.15">
      <c r="A611" s="2" t="s">
        <v>594</v>
      </c>
      <c r="B611" s="2" t="s">
        <v>627</v>
      </c>
      <c r="C611" s="2" t="s">
        <v>642</v>
      </c>
      <c r="D611" s="3">
        <v>1443390</v>
      </c>
      <c r="E611" s="3">
        <v>299449</v>
      </c>
      <c r="F611" s="3">
        <v>402</v>
      </c>
      <c r="G611" s="3" t="str">
        <f ca="1">IFERROR(__xludf.DUMMYFUNCTION("GOOGLETRANSLATE(A611,""auto"",""en"")"),"Baby Clothing")</f>
        <v>Baby Clothing</v>
      </c>
      <c r="H611" s="3" t="str">
        <f ca="1">IFERROR(__xludf.DUMMYFUNCTION("GOOGLETRANSLATE(B611,""auto"",""en"")"),"Baby clothes")</f>
        <v>Baby clothes</v>
      </c>
      <c r="I611" s="3" t="str">
        <f ca="1">IFERROR(__xludf.DUMMYFUNCTION("GOOGLETRANSLATE(C611,""auto"",""en"")"),"Other out clothes")</f>
        <v>Other out clothes</v>
      </c>
    </row>
    <row r="612" spans="1:9" ht="13" x14ac:dyDescent="0.15">
      <c r="A612" s="2" t="s">
        <v>594</v>
      </c>
      <c r="B612" s="2" t="s">
        <v>627</v>
      </c>
      <c r="C612" s="2" t="s">
        <v>643</v>
      </c>
      <c r="D612" s="3">
        <v>1443390</v>
      </c>
      <c r="E612" s="3">
        <v>299449</v>
      </c>
      <c r="F612" s="3">
        <v>183</v>
      </c>
      <c r="G612" s="3" t="str">
        <f ca="1">IFERROR(__xludf.DUMMYFUNCTION("GOOGLETRANSLATE(A612,""auto"",""en"")"),"Baby Clothing")</f>
        <v>Baby Clothing</v>
      </c>
      <c r="H612" s="3" t="str">
        <f ca="1">IFERROR(__xludf.DUMMYFUNCTION("GOOGLETRANSLATE(B612,""auto"",""en"")"),"Baby clothes")</f>
        <v>Baby clothes</v>
      </c>
      <c r="I612" s="3" t="str">
        <f ca="1">IFERROR(__xludf.DUMMYFUNCTION("GOOGLETRANSLATE(C612,""auto"",""en"")"),"coat")</f>
        <v>coat</v>
      </c>
    </row>
    <row r="613" spans="1:9" ht="13" x14ac:dyDescent="0.15">
      <c r="A613" s="2" t="s">
        <v>594</v>
      </c>
      <c r="B613" s="2" t="s">
        <v>627</v>
      </c>
      <c r="C613" s="2" t="s">
        <v>644</v>
      </c>
      <c r="D613" s="3">
        <v>1443390</v>
      </c>
      <c r="E613" s="3">
        <v>299449</v>
      </c>
      <c r="F613" s="3">
        <v>94</v>
      </c>
      <c r="G613" s="3" t="str">
        <f ca="1">IFERROR(__xludf.DUMMYFUNCTION("GOOGLETRANSLATE(A613,""auto"",""en"")"),"Baby Clothing")</f>
        <v>Baby Clothing</v>
      </c>
      <c r="H613" s="3" t="str">
        <f ca="1">IFERROR(__xludf.DUMMYFUNCTION("GOOGLETRANSLATE(B613,""auto"",""en"")"),"Baby clothes")</f>
        <v>Baby clothes</v>
      </c>
      <c r="I613" s="3" t="str">
        <f ca="1">IFERROR(__xludf.DUMMYFUNCTION("GOOGLETRANSLATE(C613,""auto"",""en"")"),"Coat / down jacket")</f>
        <v>Coat / down jacket</v>
      </c>
    </row>
    <row r="614" spans="1:9" ht="13" x14ac:dyDescent="0.15">
      <c r="A614" s="2" t="s">
        <v>594</v>
      </c>
      <c r="B614" s="2" t="s">
        <v>627</v>
      </c>
      <c r="C614" s="2" t="s">
        <v>645</v>
      </c>
      <c r="D614" s="3">
        <v>1443390</v>
      </c>
      <c r="E614" s="3">
        <v>299449</v>
      </c>
      <c r="F614" s="3">
        <v>75</v>
      </c>
      <c r="G614" s="3" t="str">
        <f ca="1">IFERROR(__xludf.DUMMYFUNCTION("GOOGLETRANSLATE(A614,""auto"",""en"")"),"Baby Clothing")</f>
        <v>Baby Clothing</v>
      </c>
      <c r="H614" s="3" t="str">
        <f ca="1">IFERROR(__xludf.DUMMYFUNCTION("GOOGLETRANSLATE(B614,""auto"",""en"")"),"Baby clothes")</f>
        <v>Baby clothes</v>
      </c>
      <c r="I614" s="3" t="str">
        <f ca="1">IFERROR(__xludf.DUMMYFUNCTION("GOOGLETRANSLATE(C614,""auto"",""en"")"),"Other close")</f>
        <v>Other close</v>
      </c>
    </row>
    <row r="615" spans="1:9" ht="13" x14ac:dyDescent="0.15">
      <c r="A615" s="2" t="s">
        <v>594</v>
      </c>
      <c r="B615" s="2" t="s">
        <v>627</v>
      </c>
      <c r="C615" s="2" t="s">
        <v>646</v>
      </c>
      <c r="D615" s="3">
        <v>1443390</v>
      </c>
      <c r="E615" s="3">
        <v>299449</v>
      </c>
      <c r="F615" s="3">
        <v>57</v>
      </c>
      <c r="G615" s="3" t="str">
        <f ca="1">IFERROR(__xludf.DUMMYFUNCTION("GOOGLETRANSLATE(A615,""auto"",""en"")"),"Baby Clothing")</f>
        <v>Baby Clothing</v>
      </c>
      <c r="H615" s="3" t="str">
        <f ca="1">IFERROR(__xludf.DUMMYFUNCTION("GOOGLETRANSLATE(B615,""auto"",""en"")"),"Baby clothes")</f>
        <v>Baby clothes</v>
      </c>
      <c r="I615" s="3" t="str">
        <f ca="1">IFERROR(__xludf.DUMMYFUNCTION("GOOGLETRANSLATE(C615,""auto"",""en"")"),"Big PP pants")</f>
        <v>Big PP pants</v>
      </c>
    </row>
    <row r="616" spans="1:9" ht="13" x14ac:dyDescent="0.15">
      <c r="A616" s="2" t="s">
        <v>594</v>
      </c>
      <c r="B616" s="2" t="s">
        <v>627</v>
      </c>
      <c r="C616" s="2" t="s">
        <v>615</v>
      </c>
      <c r="D616" s="3">
        <v>1443390</v>
      </c>
      <c r="E616" s="3">
        <v>299449</v>
      </c>
      <c r="F616" s="3">
        <v>21</v>
      </c>
      <c r="G616" s="3" t="str">
        <f ca="1">IFERROR(__xludf.DUMMYFUNCTION("GOOGLETRANSLATE(A616,""auto"",""en"")"),"Baby Clothing")</f>
        <v>Baby Clothing</v>
      </c>
      <c r="H616" s="3" t="str">
        <f ca="1">IFERROR(__xludf.DUMMYFUNCTION("GOOGLETRANSLATE(B616,""auto"",""en"")"),"Baby clothes")</f>
        <v>Baby clothes</v>
      </c>
      <c r="I616" s="3" t="str">
        <f ca="1">IFERROR(__xludf.DUMMYFUNCTION("GOOGLETRANSLATE(C616,""auto"",""en"")"),"Sweater / sweater")</f>
        <v>Sweater / sweater</v>
      </c>
    </row>
    <row r="617" spans="1:9" ht="13" x14ac:dyDescent="0.15">
      <c r="A617" s="2" t="s">
        <v>594</v>
      </c>
      <c r="B617" s="2" t="s">
        <v>627</v>
      </c>
      <c r="C617" s="2" t="s">
        <v>618</v>
      </c>
      <c r="D617" s="3">
        <v>1443390</v>
      </c>
      <c r="E617" s="3">
        <v>299449</v>
      </c>
      <c r="F617" s="3">
        <v>4</v>
      </c>
      <c r="G617" s="3" t="str">
        <f ca="1">IFERROR(__xludf.DUMMYFUNCTION("GOOGLETRANSLATE(A617,""auto"",""en"")"),"Baby Clothing")</f>
        <v>Baby Clothing</v>
      </c>
      <c r="H617" s="3" t="str">
        <f ca="1">IFERROR(__xludf.DUMMYFUNCTION("GOOGLETRANSLATE(B617,""auto"",""en"")"),"Baby clothes")</f>
        <v>Baby clothes</v>
      </c>
      <c r="I617" s="3" t="str">
        <f ca="1">IFERROR(__xludf.DUMMYFUNCTION("GOOGLETRANSLATE(C617,""auto"",""en"")"),"Sweater / Fleece")</f>
        <v>Sweater / Fleece</v>
      </c>
    </row>
    <row r="618" spans="1:9" ht="13" x14ac:dyDescent="0.15">
      <c r="A618" s="2" t="s">
        <v>594</v>
      </c>
      <c r="B618" s="2" t="s">
        <v>627</v>
      </c>
      <c r="C618" s="2" t="s">
        <v>619</v>
      </c>
      <c r="D618" s="3">
        <v>1443390</v>
      </c>
      <c r="E618" s="3">
        <v>299449</v>
      </c>
      <c r="F618" s="3">
        <v>2</v>
      </c>
      <c r="G618" s="3" t="str">
        <f ca="1">IFERROR(__xludf.DUMMYFUNCTION("GOOGLETRANSLATE(A618,""auto"",""en"")"),"Baby Clothing")</f>
        <v>Baby Clothing</v>
      </c>
      <c r="H618" s="3" t="str">
        <f ca="1">IFERROR(__xludf.DUMMYFUNCTION("GOOGLETRANSLATE(B618,""auto"",""en"")"),"Baby clothes")</f>
        <v>Baby clothes</v>
      </c>
      <c r="I618" s="3" t="str">
        <f ca="1">IFERROR(__xludf.DUMMYFUNCTION("GOOGLETRANSLATE(C618,""auto"",""en"")"),"Cloak / cape")</f>
        <v>Cloak / cape</v>
      </c>
    </row>
    <row r="619" spans="1:9" ht="13" x14ac:dyDescent="0.15">
      <c r="A619" s="2" t="s">
        <v>594</v>
      </c>
      <c r="B619" s="2" t="s">
        <v>647</v>
      </c>
      <c r="C619" s="2" t="s">
        <v>648</v>
      </c>
      <c r="D619" s="3">
        <v>1443390</v>
      </c>
      <c r="E619" s="3">
        <v>103283</v>
      </c>
      <c r="F619" s="3">
        <v>54151</v>
      </c>
      <c r="G619" s="3" t="str">
        <f ca="1">IFERROR(__xludf.DUMMYFUNCTION("GOOGLETRANSLATE(A619,""auto"",""en"")"),"Baby Clothing")</f>
        <v>Baby Clothing</v>
      </c>
      <c r="H619" s="3" t="str">
        <f ca="1">IFERROR(__xludf.DUMMYFUNCTION("GOOGLETRANSLATE(B619,""auto"",""en"")"),"Home clothing / underwear")</f>
        <v>Home clothing / underwear</v>
      </c>
      <c r="I619" s="3" t="str">
        <f ca="1">IFERROR(__xludf.DUMMYFUNCTION("GOOGLETRANSLATE(C619,""auto"",""en"")"),"Children's underwear")</f>
        <v>Children's underwear</v>
      </c>
    </row>
    <row r="620" spans="1:9" ht="13" x14ac:dyDescent="0.15">
      <c r="A620" s="2" t="s">
        <v>594</v>
      </c>
      <c r="B620" s="2" t="s">
        <v>647</v>
      </c>
      <c r="C620" s="2" t="s">
        <v>649</v>
      </c>
      <c r="D620" s="3">
        <v>1443390</v>
      </c>
      <c r="E620" s="3">
        <v>103283</v>
      </c>
      <c r="F620" s="3">
        <v>33590</v>
      </c>
      <c r="G620" s="3" t="str">
        <f ca="1">IFERROR(__xludf.DUMMYFUNCTION("GOOGLETRANSLATE(A620,""auto"",""en"")"),"Baby Clothing")</f>
        <v>Baby Clothing</v>
      </c>
      <c r="H620" s="3" t="str">
        <f ca="1">IFERROR(__xludf.DUMMYFUNCTION("GOOGLETRANSLATE(B620,""auto"",""en"")"),"Home clothing / underwear")</f>
        <v>Home clothing / underwear</v>
      </c>
      <c r="I620" s="3" t="str">
        <f ca="1">IFERROR(__xludf.DUMMYFUNCTION("GOOGLETRANSLATE(C620,""auto"",""en"")"),"Pajamas")</f>
        <v>Pajamas</v>
      </c>
    </row>
    <row r="621" spans="1:9" ht="13" x14ac:dyDescent="0.15">
      <c r="A621" s="2" t="s">
        <v>594</v>
      </c>
      <c r="B621" s="2" t="s">
        <v>647</v>
      </c>
      <c r="C621" s="2" t="s">
        <v>650</v>
      </c>
      <c r="D621" s="3">
        <v>1443390</v>
      </c>
      <c r="E621" s="3">
        <v>103283</v>
      </c>
      <c r="F621" s="3">
        <v>5962</v>
      </c>
      <c r="G621" s="3" t="str">
        <f ca="1">IFERROR(__xludf.DUMMYFUNCTION("GOOGLETRANSLATE(A621,""auto"",""en"")"),"Baby Clothing")</f>
        <v>Baby Clothing</v>
      </c>
      <c r="H621" s="3" t="str">
        <f ca="1">IFERROR(__xludf.DUMMYFUNCTION("GOOGLETRANSLATE(B621,""auto"",""en"")"),"Home clothing / underwear")</f>
        <v>Home clothing / underwear</v>
      </c>
      <c r="I621" s="3" t="str">
        <f ca="1">IFERROR(__xludf.DUMMYFUNCTION("GOOGLETRANSLATE(C621,""auto"",""en"")"),"Nightdress")</f>
        <v>Nightdress</v>
      </c>
    </row>
    <row r="622" spans="1:9" ht="13" x14ac:dyDescent="0.15">
      <c r="A622" s="2" t="s">
        <v>594</v>
      </c>
      <c r="B622" s="2" t="s">
        <v>647</v>
      </c>
      <c r="C622" s="2" t="s">
        <v>651</v>
      </c>
      <c r="D622" s="3">
        <v>1443390</v>
      </c>
      <c r="E622" s="3">
        <v>103283</v>
      </c>
      <c r="F622" s="3">
        <v>3993</v>
      </c>
      <c r="G622" s="3" t="str">
        <f ca="1">IFERROR(__xludf.DUMMYFUNCTION("GOOGLETRANSLATE(A622,""auto"",""en"")"),"Baby Clothing")</f>
        <v>Baby Clothing</v>
      </c>
      <c r="H622" s="3" t="str">
        <f ca="1">IFERROR(__xludf.DUMMYFUNCTION("GOOGLETRANSLATE(B622,""auto"",""en"")"),"Home clothing / underwear")</f>
        <v>Home clothing / underwear</v>
      </c>
      <c r="I622" s="3" t="str">
        <f ca="1">IFERROR(__xludf.DUMMYFUNCTION("GOOGLETRANSLATE(C622,""auto"",""en"")"),"Children Qiuyi / Qiuku")</f>
        <v>Children Qiuyi / Qiuku</v>
      </c>
    </row>
    <row r="623" spans="1:9" ht="13" x14ac:dyDescent="0.15">
      <c r="A623" s="2" t="s">
        <v>594</v>
      </c>
      <c r="B623" s="2" t="s">
        <v>647</v>
      </c>
      <c r="C623" s="2" t="s">
        <v>652</v>
      </c>
      <c r="D623" s="3">
        <v>1443390</v>
      </c>
      <c r="E623" s="3">
        <v>103283</v>
      </c>
      <c r="F623" s="3">
        <v>1799</v>
      </c>
      <c r="G623" s="3" t="str">
        <f ca="1">IFERROR(__xludf.DUMMYFUNCTION("GOOGLETRANSLATE(A623,""auto"",""en"")"),"Baby Clothing")</f>
        <v>Baby Clothing</v>
      </c>
      <c r="H623" s="3" t="str">
        <f ca="1">IFERROR(__xludf.DUMMYFUNCTION("GOOGLETRANSLATE(B623,""auto"",""en"")"),"Home clothing / underwear")</f>
        <v>Home clothing / underwear</v>
      </c>
      <c r="I623" s="3" t="str">
        <f ca="1">IFERROR(__xludf.DUMMYFUNCTION("GOOGLETRANSLATE(C623,""auto"",""en"")"),"pajamas")</f>
        <v>pajamas</v>
      </c>
    </row>
    <row r="624" spans="1:9" ht="13" x14ac:dyDescent="0.15">
      <c r="A624" s="2" t="s">
        <v>594</v>
      </c>
      <c r="B624" s="2" t="s">
        <v>647</v>
      </c>
      <c r="C624" s="2" t="s">
        <v>653</v>
      </c>
      <c r="D624" s="3">
        <v>1443390</v>
      </c>
      <c r="E624" s="3">
        <v>103283</v>
      </c>
      <c r="F624" s="3">
        <v>1440</v>
      </c>
      <c r="G624" s="3" t="str">
        <f ca="1">IFERROR(__xludf.DUMMYFUNCTION("GOOGLETRANSLATE(A624,""auto"",""en"")"),"Baby Clothing")</f>
        <v>Baby Clothing</v>
      </c>
      <c r="H624" s="3" t="str">
        <f ca="1">IFERROR(__xludf.DUMMYFUNCTION("GOOGLETRANSLATE(B624,""auto"",""en"")"),"Home clothing / underwear")</f>
        <v>Home clothing / underwear</v>
      </c>
      <c r="I624" s="3" t="str">
        <f ca="1">IFERROR(__xludf.DUMMYFUNCTION("GOOGLETRANSLATE(C624,""auto"",""en"")"),"Other Underwear")</f>
        <v>Other Underwear</v>
      </c>
    </row>
    <row r="625" spans="1:9" ht="13" x14ac:dyDescent="0.15">
      <c r="A625" s="2" t="s">
        <v>594</v>
      </c>
      <c r="B625" s="2" t="s">
        <v>647</v>
      </c>
      <c r="C625" s="2" t="s">
        <v>654</v>
      </c>
      <c r="D625" s="3">
        <v>1443390</v>
      </c>
      <c r="E625" s="3">
        <v>103283</v>
      </c>
      <c r="F625" s="3">
        <v>606</v>
      </c>
      <c r="G625" s="3" t="str">
        <f ca="1">IFERROR(__xludf.DUMMYFUNCTION("GOOGLETRANSLATE(A625,""auto"",""en"")"),"Baby Clothing")</f>
        <v>Baby Clothing</v>
      </c>
      <c r="H625" s="3" t="str">
        <f ca="1">IFERROR(__xludf.DUMMYFUNCTION("GOOGLETRANSLATE(B625,""auto"",""en"")"),"Home clothing / underwear")</f>
        <v>Home clothing / underwear</v>
      </c>
      <c r="I625" s="3" t="str">
        <f ca="1">IFERROR(__xludf.DUMMYFUNCTION("GOOGLETRANSLATE(C625,""auto"",""en"")"),"Warm jacket / warm pants / warm suit")</f>
        <v>Warm jacket / warm pants / warm suit</v>
      </c>
    </row>
    <row r="626" spans="1:9" ht="13" x14ac:dyDescent="0.15">
      <c r="A626" s="2" t="s">
        <v>594</v>
      </c>
      <c r="B626" s="2" t="s">
        <v>647</v>
      </c>
      <c r="C626" s="2" t="s">
        <v>655</v>
      </c>
      <c r="D626" s="3">
        <v>1443390</v>
      </c>
      <c r="E626" s="3">
        <v>103283</v>
      </c>
      <c r="F626" s="3">
        <v>556</v>
      </c>
      <c r="G626" s="3" t="str">
        <f ca="1">IFERROR(__xludf.DUMMYFUNCTION("GOOGLETRANSLATE(A626,""auto"",""en"")"),"Baby Clothing")</f>
        <v>Baby Clothing</v>
      </c>
      <c r="H626" s="3" t="str">
        <f ca="1">IFERROR(__xludf.DUMMYFUNCTION("GOOGLETRANSLATE(B626,""auto"",""en"")"),"Home clothing / underwear")</f>
        <v>Home clothing / underwear</v>
      </c>
      <c r="I626" s="3" t="str">
        <f ca="1">IFERROR(__xludf.DUMMYFUNCTION("GOOGLETRANSLATE(C626,""auto"",""en"")"),"Warm coat")</f>
        <v>Warm coat</v>
      </c>
    </row>
    <row r="627" spans="1:9" ht="13" x14ac:dyDescent="0.15">
      <c r="A627" s="2" t="s">
        <v>594</v>
      </c>
      <c r="B627" s="2" t="s">
        <v>647</v>
      </c>
      <c r="C627" s="2" t="s">
        <v>656</v>
      </c>
      <c r="D627" s="3">
        <v>1443390</v>
      </c>
      <c r="E627" s="3">
        <v>103283</v>
      </c>
      <c r="F627" s="3">
        <v>543</v>
      </c>
      <c r="G627" s="3" t="str">
        <f ca="1">IFERROR(__xludf.DUMMYFUNCTION("GOOGLETRANSLATE(A627,""auto"",""en"")"),"Baby Clothing")</f>
        <v>Baby Clothing</v>
      </c>
      <c r="H627" s="3" t="str">
        <f ca="1">IFERROR(__xludf.DUMMYFUNCTION("GOOGLETRANSLATE(B627,""auto"",""en"")"),"Home clothing / underwear")</f>
        <v>Home clothing / underwear</v>
      </c>
      <c r="I627" s="3" t="str">
        <f ca="1">IFERROR(__xludf.DUMMYFUNCTION("GOOGLETRANSLATE(C627,""auto"",""en"")"),"Warm pants")</f>
        <v>Warm pants</v>
      </c>
    </row>
    <row r="628" spans="1:9" ht="13" x14ac:dyDescent="0.15">
      <c r="A628" s="2" t="s">
        <v>594</v>
      </c>
      <c r="B628" s="2" t="s">
        <v>647</v>
      </c>
      <c r="C628" s="2" t="s">
        <v>657</v>
      </c>
      <c r="D628" s="3">
        <v>1443390</v>
      </c>
      <c r="E628" s="3">
        <v>103283</v>
      </c>
      <c r="F628" s="3">
        <v>387</v>
      </c>
      <c r="G628" s="3" t="str">
        <f ca="1">IFERROR(__xludf.DUMMYFUNCTION("GOOGLETRANSLATE(A628,""auto"",""en"")"),"Baby Clothing")</f>
        <v>Baby Clothing</v>
      </c>
      <c r="H628" s="3" t="str">
        <f ca="1">IFERROR(__xludf.DUMMYFUNCTION("GOOGLETRANSLATE(B628,""auto"",""en"")"),"Home clothing / underwear")</f>
        <v>Home clothing / underwear</v>
      </c>
      <c r="I628" s="3" t="str">
        <f ca="1">IFERROR(__xludf.DUMMYFUNCTION("GOOGLETRANSLATE(C628,""auto"",""en"")"),"Bathrobes")</f>
        <v>Bathrobes</v>
      </c>
    </row>
    <row r="629" spans="1:9" ht="13" x14ac:dyDescent="0.15">
      <c r="A629" s="2" t="s">
        <v>594</v>
      </c>
      <c r="B629" s="2" t="s">
        <v>647</v>
      </c>
      <c r="C629" s="2" t="s">
        <v>658</v>
      </c>
      <c r="D629" s="3">
        <v>1443390</v>
      </c>
      <c r="E629" s="3">
        <v>103283</v>
      </c>
      <c r="F629" s="3">
        <v>258</v>
      </c>
      <c r="G629" s="3" t="str">
        <f ca="1">IFERROR(__xludf.DUMMYFUNCTION("GOOGLETRANSLATE(A629,""auto"",""en"")"),"Baby Clothing")</f>
        <v>Baby Clothing</v>
      </c>
      <c r="H629" s="3" t="str">
        <f ca="1">IFERROR(__xludf.DUMMYFUNCTION("GOOGLETRANSLATE(B629,""auto"",""en"")"),"Home clothing / underwear")</f>
        <v>Home clothing / underwear</v>
      </c>
      <c r="I629" s="3" t="str">
        <f ca="1">IFERROR(__xludf.DUMMYFUNCTION("GOOGLETRANSLATE(C629,""auto"",""en"")"),"Pajamas")</f>
        <v>Pajamas</v>
      </c>
    </row>
    <row r="630" spans="1:9" ht="13" x14ac:dyDescent="0.15">
      <c r="A630" s="2" t="s">
        <v>594</v>
      </c>
      <c r="B630" s="2" t="s">
        <v>659</v>
      </c>
      <c r="C630" s="2" t="s">
        <v>660</v>
      </c>
      <c r="D630" s="3">
        <v>1443390</v>
      </c>
      <c r="E630" s="3">
        <v>52085</v>
      </c>
      <c r="F630" s="3">
        <v>25114</v>
      </c>
      <c r="G630" s="3" t="str">
        <f ca="1">IFERROR(__xludf.DUMMYFUNCTION("GOOGLETRANSLATE(A630,""auto"",""en"")"),"Baby Clothing")</f>
        <v>Baby Clothing</v>
      </c>
      <c r="H630" s="3" t="str">
        <f ca="1">IFERROR(__xludf.DUMMYFUNCTION("GOOGLETRANSLATE(B630,""auto"",""en"")"),"Children's Accessories")</f>
        <v>Children's Accessories</v>
      </c>
      <c r="I630" s="3" t="str">
        <f ca="1">IFERROR(__xludf.DUMMYFUNCTION("GOOGLETRANSLATE(C630,""auto"",""en"")"),"Hair Accessories")</f>
        <v>Hair Accessories</v>
      </c>
    </row>
    <row r="631" spans="1:9" ht="13" x14ac:dyDescent="0.15">
      <c r="A631" s="2" t="s">
        <v>594</v>
      </c>
      <c r="B631" s="2" t="s">
        <v>659</v>
      </c>
      <c r="C631" s="2" t="s">
        <v>661</v>
      </c>
      <c r="D631" s="3">
        <v>1443390</v>
      </c>
      <c r="E631" s="3">
        <v>52085</v>
      </c>
      <c r="F631" s="3">
        <v>18936</v>
      </c>
      <c r="G631" s="3" t="str">
        <f ca="1">IFERROR(__xludf.DUMMYFUNCTION("GOOGLETRANSLATE(A631,""auto"",""en"")"),"Baby Clothing")</f>
        <v>Baby Clothing</v>
      </c>
      <c r="H631" s="3" t="str">
        <f ca="1">IFERROR(__xludf.DUMMYFUNCTION("GOOGLETRANSLATE(B631,""auto"",""en"")"),"Children's Accessories")</f>
        <v>Children's Accessories</v>
      </c>
      <c r="I631" s="3" t="str">
        <f ca="1">IFERROR(__xludf.DUMMYFUNCTION("GOOGLETRANSLATE(C631,""auto"",""en"")"),"Hats / scarves / gloves")</f>
        <v>Hats / scarves / gloves</v>
      </c>
    </row>
    <row r="632" spans="1:9" ht="13" x14ac:dyDescent="0.15">
      <c r="A632" s="2" t="s">
        <v>594</v>
      </c>
      <c r="B632" s="2" t="s">
        <v>659</v>
      </c>
      <c r="C632" s="2" t="s">
        <v>624</v>
      </c>
      <c r="D632" s="3">
        <v>1443390</v>
      </c>
      <c r="E632" s="3">
        <v>52085</v>
      </c>
      <c r="F632" s="3">
        <v>3248</v>
      </c>
      <c r="G632" s="3" t="str">
        <f ca="1">IFERROR(__xludf.DUMMYFUNCTION("GOOGLETRANSLATE(A632,""auto"",""en"")"),"Baby Clothing")</f>
        <v>Baby Clothing</v>
      </c>
      <c r="H632" s="3" t="str">
        <f ca="1">IFERROR(__xludf.DUMMYFUNCTION("GOOGLETRANSLATE(B632,""auto"",""en"")"),"Children's Accessories")</f>
        <v>Children's Accessories</v>
      </c>
      <c r="I632" s="3" t="str">
        <f ca="1">IFERROR(__xludf.DUMMYFUNCTION("GOOGLETRANSLATE(C632,""auto"",""en"")"),"Other accessories")</f>
        <v>Other accessories</v>
      </c>
    </row>
    <row r="633" spans="1:9" ht="13" x14ac:dyDescent="0.15">
      <c r="A633" s="2" t="s">
        <v>594</v>
      </c>
      <c r="B633" s="2" t="s">
        <v>659</v>
      </c>
      <c r="C633" s="2" t="s">
        <v>662</v>
      </c>
      <c r="D633" s="3">
        <v>1443390</v>
      </c>
      <c r="E633" s="3">
        <v>52085</v>
      </c>
      <c r="F633" s="3">
        <v>1798</v>
      </c>
      <c r="G633" s="3" t="str">
        <f ca="1">IFERROR(__xludf.DUMMYFUNCTION("GOOGLETRANSLATE(A633,""auto"",""en"")"),"Baby Clothing")</f>
        <v>Baby Clothing</v>
      </c>
      <c r="H633" s="3" t="str">
        <f ca="1">IFERROR(__xludf.DUMMYFUNCTION("GOOGLETRANSLATE(B633,""auto"",""en"")"),"Children's Accessories")</f>
        <v>Children's Accessories</v>
      </c>
      <c r="I633" s="3" t="str">
        <f ca="1">IFERROR(__xludf.DUMMYFUNCTION("GOOGLETRANSLATE(C633,""auto"",""en"")"),"Sunglasses")</f>
        <v>Sunglasses</v>
      </c>
    </row>
    <row r="634" spans="1:9" ht="13" x14ac:dyDescent="0.15">
      <c r="A634" s="2" t="s">
        <v>594</v>
      </c>
      <c r="B634" s="2" t="s">
        <v>659</v>
      </c>
      <c r="C634" s="2" t="s">
        <v>663</v>
      </c>
      <c r="D634" s="3">
        <v>1443390</v>
      </c>
      <c r="E634" s="3">
        <v>52085</v>
      </c>
      <c r="F634" s="3">
        <v>1218</v>
      </c>
      <c r="G634" s="3" t="str">
        <f ca="1">IFERROR(__xludf.DUMMYFUNCTION("GOOGLETRANSLATE(A634,""auto"",""en"")"),"Baby Clothing")</f>
        <v>Baby Clothing</v>
      </c>
      <c r="H634" s="3" t="str">
        <f ca="1">IFERROR(__xludf.DUMMYFUNCTION("GOOGLETRANSLATE(B634,""auto"",""en"")"),"Children's Accessories")</f>
        <v>Children's Accessories</v>
      </c>
      <c r="I634" s="3" t="str">
        <f ca="1">IFERROR(__xludf.DUMMYFUNCTION("GOOGLETRANSLATE(C634,""auto"",""en"")"),"Bracelets")</f>
        <v>Bracelets</v>
      </c>
    </row>
    <row r="635" spans="1:9" ht="13" x14ac:dyDescent="0.15">
      <c r="A635" s="2" t="s">
        <v>594</v>
      </c>
      <c r="B635" s="2" t="s">
        <v>659</v>
      </c>
      <c r="C635" s="2" t="s">
        <v>664</v>
      </c>
      <c r="D635" s="3">
        <v>1443390</v>
      </c>
      <c r="E635" s="3">
        <v>52085</v>
      </c>
      <c r="F635" s="3">
        <v>1012</v>
      </c>
      <c r="G635" s="3" t="str">
        <f ca="1">IFERROR(__xludf.DUMMYFUNCTION("GOOGLETRANSLATE(A635,""auto"",""en"")"),"Baby Clothing")</f>
        <v>Baby Clothing</v>
      </c>
      <c r="H635" s="3" t="str">
        <f ca="1">IFERROR(__xludf.DUMMYFUNCTION("GOOGLETRANSLATE(B635,""auto"",""en"")"),"Children's Accessories")</f>
        <v>Children's Accessories</v>
      </c>
      <c r="I635" s="3" t="str">
        <f ca="1">IFERROR(__xludf.DUMMYFUNCTION("GOOGLETRANSLATE(C635,""auto"",""en"")"),"Children package")</f>
        <v>Children package</v>
      </c>
    </row>
    <row r="636" spans="1:9" ht="13" x14ac:dyDescent="0.15">
      <c r="A636" s="2" t="s">
        <v>594</v>
      </c>
      <c r="B636" s="2" t="s">
        <v>659</v>
      </c>
      <c r="C636" s="2" t="s">
        <v>665</v>
      </c>
      <c r="D636" s="3">
        <v>1443390</v>
      </c>
      <c r="E636" s="3">
        <v>52085</v>
      </c>
      <c r="F636" s="3">
        <v>479</v>
      </c>
      <c r="G636" s="3" t="str">
        <f ca="1">IFERROR(__xludf.DUMMYFUNCTION("GOOGLETRANSLATE(A636,""auto"",""en"")"),"Baby Clothing")</f>
        <v>Baby Clothing</v>
      </c>
      <c r="H636" s="3" t="str">
        <f ca="1">IFERROR(__xludf.DUMMYFUNCTION("GOOGLETRANSLATE(B636,""auto"",""en"")"),"Children's Accessories")</f>
        <v>Children's Accessories</v>
      </c>
      <c r="I636" s="3" t="str">
        <f ca="1">IFERROR(__xludf.DUMMYFUNCTION("GOOGLETRANSLATE(C636,""auto"",""en"")"),"necklace")</f>
        <v>necklace</v>
      </c>
    </row>
    <row r="637" spans="1:9" ht="13" x14ac:dyDescent="0.15">
      <c r="A637" s="2" t="s">
        <v>594</v>
      </c>
      <c r="B637" s="2" t="s">
        <v>659</v>
      </c>
      <c r="C637" s="2" t="s">
        <v>666</v>
      </c>
      <c r="D637" s="3">
        <v>1443390</v>
      </c>
      <c r="E637" s="3">
        <v>52085</v>
      </c>
      <c r="F637" s="3">
        <v>268</v>
      </c>
      <c r="G637" s="3" t="str">
        <f ca="1">IFERROR(__xludf.DUMMYFUNCTION("GOOGLETRANSLATE(A637,""auto"",""en"")"),"Baby Clothing")</f>
        <v>Baby Clothing</v>
      </c>
      <c r="H637" s="3" t="str">
        <f ca="1">IFERROR(__xludf.DUMMYFUNCTION("GOOGLETRANSLATE(B637,""auto"",""en"")"),"Children's Accessories")</f>
        <v>Children's Accessories</v>
      </c>
      <c r="I637" s="3" t="str">
        <f ca="1">IFERROR(__xludf.DUMMYFUNCTION("GOOGLETRANSLATE(C637,""auto"",""en"")"),"Children's Table")</f>
        <v>Children's Table</v>
      </c>
    </row>
    <row r="638" spans="1:9" ht="13" x14ac:dyDescent="0.15">
      <c r="A638" s="2" t="s">
        <v>594</v>
      </c>
      <c r="B638" s="2" t="s">
        <v>659</v>
      </c>
      <c r="C638" s="2" t="s">
        <v>667</v>
      </c>
      <c r="D638" s="3">
        <v>1443390</v>
      </c>
      <c r="E638" s="3">
        <v>52085</v>
      </c>
      <c r="F638" s="3">
        <v>7</v>
      </c>
      <c r="G638" s="3" t="str">
        <f ca="1">IFERROR(__xludf.DUMMYFUNCTION("GOOGLETRANSLATE(A638,""auto"",""en"")"),"Baby Clothing")</f>
        <v>Baby Clothing</v>
      </c>
      <c r="H638" s="3" t="str">
        <f ca="1">IFERROR(__xludf.DUMMYFUNCTION("GOOGLETRANSLATE(B638,""auto"",""en"")"),"Children's Accessories")</f>
        <v>Children's Accessories</v>
      </c>
      <c r="I638" s="3" t="str">
        <f ca="1">IFERROR(__xludf.DUMMYFUNCTION("GOOGLETRANSLATE(C638,""auto"",""en"")"),"Tie / tie")</f>
        <v>Tie / tie</v>
      </c>
    </row>
    <row r="639" spans="1:9" ht="13" x14ac:dyDescent="0.15">
      <c r="A639" s="2" t="s">
        <v>594</v>
      </c>
      <c r="B639" s="2" t="s">
        <v>659</v>
      </c>
      <c r="C639" s="2" t="s">
        <v>668</v>
      </c>
      <c r="D639" s="3">
        <v>1443390</v>
      </c>
      <c r="E639" s="3">
        <v>52085</v>
      </c>
      <c r="F639" s="3">
        <v>5</v>
      </c>
      <c r="G639" s="3" t="str">
        <f ca="1">IFERROR(__xludf.DUMMYFUNCTION("GOOGLETRANSLATE(A639,""auto"",""en"")"),"Baby Clothing")</f>
        <v>Baby Clothing</v>
      </c>
      <c r="H639" s="3" t="str">
        <f ca="1">IFERROR(__xludf.DUMMYFUNCTION("GOOGLETRANSLATE(B639,""auto"",""en"")"),"Children's Accessories")</f>
        <v>Children's Accessories</v>
      </c>
      <c r="I639" s="3" t="str">
        <f ca="1">IFERROR(__xludf.DUMMYFUNCTION("GOOGLETRANSLATE(C639,""auto"",""en"")"),"Belt / Belt")</f>
        <v>Belt / Belt</v>
      </c>
    </row>
    <row r="640" spans="1:9" ht="13" x14ac:dyDescent="0.15">
      <c r="A640" s="2" t="s">
        <v>594</v>
      </c>
      <c r="B640" s="2" t="s">
        <v>669</v>
      </c>
      <c r="C640" s="2" t="s">
        <v>670</v>
      </c>
      <c r="D640" s="3">
        <v>1443390</v>
      </c>
      <c r="E640" s="3">
        <v>26876</v>
      </c>
      <c r="F640" s="3">
        <v>22669</v>
      </c>
      <c r="G640" s="3" t="str">
        <f ca="1">IFERROR(__xludf.DUMMYFUNCTION("GOOGLETRANSLATE(A640,""auto"",""en"")"),"Baby Clothing")</f>
        <v>Baby Clothing</v>
      </c>
      <c r="H640" s="3" t="str">
        <f ca="1">IFERROR(__xludf.DUMMYFUNCTION("GOOGLETRANSLATE(B640,""auto"",""en"")"),"Family fitted")</f>
        <v>Family fitted</v>
      </c>
      <c r="I640" s="3" t="str">
        <f ca="1">IFERROR(__xludf.DUMMYFUNCTION("GOOGLETRANSLATE(C640,""auto"",""en"")"),"Whole home improvement")</f>
        <v>Whole home improvement</v>
      </c>
    </row>
    <row r="641" spans="1:9" ht="13" x14ac:dyDescent="0.15">
      <c r="A641" s="2" t="s">
        <v>594</v>
      </c>
      <c r="B641" s="2" t="s">
        <v>669</v>
      </c>
      <c r="C641" s="2" t="s">
        <v>671</v>
      </c>
      <c r="D641" s="3">
        <v>1443390</v>
      </c>
      <c r="E641" s="3">
        <v>26876</v>
      </c>
      <c r="F641" s="3">
        <v>4152</v>
      </c>
      <c r="G641" s="3" t="str">
        <f ca="1">IFERROR(__xludf.DUMMYFUNCTION("GOOGLETRANSLATE(A641,""auto"",""en"")"),"Baby Clothing")</f>
        <v>Baby Clothing</v>
      </c>
      <c r="H641" s="3" t="str">
        <f ca="1">IFERROR(__xludf.DUMMYFUNCTION("GOOGLETRANSLATE(B641,""auto"",""en"")"),"Family fitted")</f>
        <v>Family fitted</v>
      </c>
      <c r="I641" s="3" t="str">
        <f ca="1">IFERROR(__xludf.DUMMYFUNCTION("GOOGLETRANSLATE(C641,""auto"",""en"")"),"Mother baby clothes")</f>
        <v>Mother baby clothes</v>
      </c>
    </row>
    <row r="642" spans="1:9" ht="13" x14ac:dyDescent="0.15">
      <c r="A642" s="2" t="s">
        <v>594</v>
      </c>
      <c r="B642" s="2" t="s">
        <v>669</v>
      </c>
      <c r="C642" s="2" t="s">
        <v>672</v>
      </c>
      <c r="D642" s="3">
        <v>1443390</v>
      </c>
      <c r="E642" s="3">
        <v>26876</v>
      </c>
      <c r="F642" s="3">
        <v>56</v>
      </c>
      <c r="G642" s="3" t="str">
        <f ca="1">IFERROR(__xludf.DUMMYFUNCTION("GOOGLETRANSLATE(A642,""auto"",""en"")"),"Baby Clothing")</f>
        <v>Baby Clothing</v>
      </c>
      <c r="H642" s="3" t="str">
        <f ca="1">IFERROR(__xludf.DUMMYFUNCTION("GOOGLETRANSLATE(B642,""auto"",""en"")"),"Family fitted")</f>
        <v>Family fitted</v>
      </c>
      <c r="I642" s="3" t="str">
        <f ca="1">IFERROR(__xludf.DUMMYFUNCTION("GOOGLETRANSLATE(C642,""auto"",""en"")"),"Dad baby clothes")</f>
        <v>Dad baby clothes</v>
      </c>
    </row>
    <row r="643" spans="1:9" ht="13" x14ac:dyDescent="0.15">
      <c r="A643" s="2" t="s">
        <v>594</v>
      </c>
      <c r="B643" s="2" t="s">
        <v>673</v>
      </c>
      <c r="C643" s="2" t="s">
        <v>674</v>
      </c>
      <c r="D643" s="3">
        <v>1443390</v>
      </c>
      <c r="E643" s="3">
        <v>15957</v>
      </c>
      <c r="F643" s="3">
        <v>14158</v>
      </c>
      <c r="G643" s="3" t="str">
        <f ca="1">IFERROR(__xludf.DUMMYFUNCTION("GOOGLETRANSLATE(A643,""auto"",""en"")"),"Baby Clothing")</f>
        <v>Baby Clothing</v>
      </c>
      <c r="H643" s="3" t="str">
        <f ca="1">IFERROR(__xludf.DUMMYFUNCTION("GOOGLETRANSLATE(B643,""auto"",""en"")"),"Children's outdoor clothing")</f>
        <v>Children's outdoor clothing</v>
      </c>
      <c r="I643" s="3" t="str">
        <f ca="1">IFERROR(__xludf.DUMMYFUNCTION("GOOGLETRANSLATE(C643,""auto"",""en"")"),"Sun protection clothing")</f>
        <v>Sun protection clothing</v>
      </c>
    </row>
    <row r="644" spans="1:9" ht="13" x14ac:dyDescent="0.15">
      <c r="A644" s="2" t="s">
        <v>594</v>
      </c>
      <c r="B644" s="2" t="s">
        <v>673</v>
      </c>
      <c r="C644" s="2" t="s">
        <v>675</v>
      </c>
      <c r="D644" s="3">
        <v>1443390</v>
      </c>
      <c r="E644" s="3">
        <v>15957</v>
      </c>
      <c r="F644" s="3">
        <v>1501</v>
      </c>
      <c r="G644" s="3" t="str">
        <f ca="1">IFERROR(__xludf.DUMMYFUNCTION("GOOGLETRANSLATE(A644,""auto"",""en"")"),"Baby Clothing")</f>
        <v>Baby Clothing</v>
      </c>
      <c r="H644" s="3" t="str">
        <f ca="1">IFERROR(__xludf.DUMMYFUNCTION("GOOGLETRANSLATE(B644,""auto"",""en"")"),"Children's outdoor clothing")</f>
        <v>Children's outdoor clothing</v>
      </c>
      <c r="I644" s="3" t="str">
        <f ca="1">IFERROR(__xludf.DUMMYFUNCTION("GOOGLETRANSLATE(C644,""auto"",""en"")"),"Children's sports suit")</f>
        <v>Children's sports suit</v>
      </c>
    </row>
    <row r="645" spans="1:9" ht="13" x14ac:dyDescent="0.15">
      <c r="A645" s="2" t="s">
        <v>594</v>
      </c>
      <c r="B645" s="2" t="s">
        <v>673</v>
      </c>
      <c r="C645" s="2" t="s">
        <v>676</v>
      </c>
      <c r="D645" s="3">
        <v>1443390</v>
      </c>
      <c r="E645" s="3">
        <v>15957</v>
      </c>
      <c r="F645" s="3">
        <v>226</v>
      </c>
      <c r="G645" s="3" t="str">
        <f ca="1">IFERROR(__xludf.DUMMYFUNCTION("GOOGLETRANSLATE(A645,""auto"",""en"")"),"Baby Clothing")</f>
        <v>Baby Clothing</v>
      </c>
      <c r="H645" s="3" t="str">
        <f ca="1">IFERROR(__xludf.DUMMYFUNCTION("GOOGLETRANSLATE(B645,""auto"",""en"")"),"Children's outdoor clothing")</f>
        <v>Children's outdoor clothing</v>
      </c>
      <c r="I645" s="3" t="str">
        <f ca="1">IFERROR(__xludf.DUMMYFUNCTION("GOOGLETRANSLATE(C645,""auto"",""en"")"),"Children's Jackets")</f>
        <v>Children's Jackets</v>
      </c>
    </row>
    <row r="646" spans="1:9" ht="13" x14ac:dyDescent="0.15">
      <c r="A646" s="2" t="s">
        <v>594</v>
      </c>
      <c r="B646" s="2" t="s">
        <v>673</v>
      </c>
      <c r="C646" s="2" t="s">
        <v>677</v>
      </c>
      <c r="D646" s="3">
        <v>1443390</v>
      </c>
      <c r="E646" s="3">
        <v>15957</v>
      </c>
      <c r="F646" s="3">
        <v>40</v>
      </c>
      <c r="G646" s="3" t="str">
        <f ca="1">IFERROR(__xludf.DUMMYFUNCTION("GOOGLETRANSLATE(A646,""auto"",""en"")"),"Baby Clothing")</f>
        <v>Baby Clothing</v>
      </c>
      <c r="H646" s="3" t="str">
        <f ca="1">IFERROR(__xludf.DUMMYFUNCTION("GOOGLETRANSLATE(B646,""auto"",""en"")"),"Children's outdoor clothing")</f>
        <v>Children's outdoor clothing</v>
      </c>
      <c r="I646" s="3" t="str">
        <f ca="1">IFERROR(__xludf.DUMMYFUNCTION("GOOGLETRANSLATE(C646,""auto"",""en"")"),"Children quick-drying shirt")</f>
        <v>Children quick-drying shirt</v>
      </c>
    </row>
    <row r="647" spans="1:9" ht="13" x14ac:dyDescent="0.15">
      <c r="A647" s="2" t="s">
        <v>594</v>
      </c>
      <c r="B647" s="2" t="s">
        <v>673</v>
      </c>
      <c r="C647" s="2" t="s">
        <v>678</v>
      </c>
      <c r="D647" s="3">
        <v>1443390</v>
      </c>
      <c r="E647" s="3">
        <v>15957</v>
      </c>
      <c r="F647" s="3">
        <v>17</v>
      </c>
      <c r="G647" s="3" t="str">
        <f ca="1">IFERROR(__xludf.DUMMYFUNCTION("GOOGLETRANSLATE(A647,""auto"",""en"")"),"Baby Clothing")</f>
        <v>Baby Clothing</v>
      </c>
      <c r="H647" s="3" t="str">
        <f ca="1">IFERROR(__xludf.DUMMYFUNCTION("GOOGLETRANSLATE(B647,""auto"",""en"")"),"Children's outdoor clothing")</f>
        <v>Children's outdoor clothing</v>
      </c>
      <c r="I647" s="3" t="str">
        <f ca="1">IFERROR(__xludf.DUMMYFUNCTION("GOOGLETRANSLATE(C647,""auto"",""en"")"),"Children quick-drying T-shirt")</f>
        <v>Children quick-drying T-shirt</v>
      </c>
    </row>
    <row r="648" spans="1:9" ht="13" x14ac:dyDescent="0.15">
      <c r="A648" s="2" t="s">
        <v>594</v>
      </c>
      <c r="B648" s="2" t="s">
        <v>673</v>
      </c>
      <c r="C648" s="2" t="s">
        <v>679</v>
      </c>
      <c r="D648" s="3">
        <v>1443390</v>
      </c>
      <c r="E648" s="3">
        <v>15957</v>
      </c>
      <c r="F648" s="3">
        <v>13</v>
      </c>
      <c r="G648" s="3" t="str">
        <f ca="1">IFERROR(__xludf.DUMMYFUNCTION("GOOGLETRANSLATE(A648,""auto"",""en"")"),"Baby Clothing")</f>
        <v>Baby Clothing</v>
      </c>
      <c r="H648" s="3" t="str">
        <f ca="1">IFERROR(__xludf.DUMMYFUNCTION("GOOGLETRANSLATE(B648,""auto"",""en"")"),"Children's outdoor clothing")</f>
        <v>Children's outdoor clothing</v>
      </c>
      <c r="I648" s="3" t="str">
        <f ca="1">IFERROR(__xludf.DUMMYFUNCTION("GOOGLETRANSLATE(C648,""auto"",""en"")"),"Children's ski suits")</f>
        <v>Children's ski suits</v>
      </c>
    </row>
    <row r="649" spans="1:9" ht="13" x14ac:dyDescent="0.15">
      <c r="A649" s="2" t="s">
        <v>594</v>
      </c>
      <c r="B649" s="2" t="s">
        <v>673</v>
      </c>
      <c r="C649" s="2" t="s">
        <v>680</v>
      </c>
      <c r="D649" s="3">
        <v>1443390</v>
      </c>
      <c r="E649" s="3">
        <v>15957</v>
      </c>
      <c r="F649" s="3">
        <v>3</v>
      </c>
      <c r="G649" s="3" t="str">
        <f ca="1">IFERROR(__xludf.DUMMYFUNCTION("GOOGLETRANSLATE(A649,""auto"",""en"")"),"Baby Clothing")</f>
        <v>Baby Clothing</v>
      </c>
      <c r="H649" s="3" t="str">
        <f ca="1">IFERROR(__xludf.DUMMYFUNCTION("GOOGLETRANSLATE(B649,""auto"",""en"")"),"Children's outdoor clothing")</f>
        <v>Children's outdoor clothing</v>
      </c>
      <c r="I649" s="3" t="str">
        <f ca="1">IFERROR(__xludf.DUMMYFUNCTION("GOOGLETRANSLATE(C649,""auto"",""en"")"),"Children quick-drying pants")</f>
        <v>Children quick-drying pants</v>
      </c>
    </row>
    <row r="650" spans="1:9" ht="13" x14ac:dyDescent="0.15">
      <c r="A650" s="2" t="s">
        <v>681</v>
      </c>
      <c r="B650" s="2" t="s">
        <v>682</v>
      </c>
      <c r="C650" s="2" t="s">
        <v>89</v>
      </c>
      <c r="D650" s="3">
        <v>1404943</v>
      </c>
      <c r="E650" s="3">
        <v>328970</v>
      </c>
      <c r="F650" s="3">
        <v>165591</v>
      </c>
      <c r="G650" s="3" t="str">
        <f ca="1">IFERROR(__xludf.DUMMYFUNCTION("GOOGLETRANSLATE(A650,""auto"",""en"")"),"Baby Products")</f>
        <v>Baby Products</v>
      </c>
      <c r="H650" s="3" t="str">
        <f ca="1">IFERROR(__xludf.DUMMYFUNCTION("GOOGLETRANSLATE(B650,""auto"",""en"")"),"Wet / out of paper")</f>
        <v>Wet / out of paper</v>
      </c>
      <c r="I650" s="3" t="str">
        <f ca="1">IFERROR(__xludf.DUMMYFUNCTION("GOOGLETRANSLATE(C650,""auto"",""en"")"),"Wipes")</f>
        <v>Wipes</v>
      </c>
    </row>
    <row r="651" spans="1:9" ht="13" x14ac:dyDescent="0.15">
      <c r="A651" s="2" t="s">
        <v>681</v>
      </c>
      <c r="B651" s="2" t="s">
        <v>682</v>
      </c>
      <c r="C651" s="2" t="s">
        <v>683</v>
      </c>
      <c r="D651" s="3">
        <v>1404943</v>
      </c>
      <c r="E651" s="3">
        <v>328970</v>
      </c>
      <c r="F651" s="3">
        <v>163379</v>
      </c>
      <c r="G651" s="3" t="str">
        <f ca="1">IFERROR(__xludf.DUMMYFUNCTION("GOOGLETRANSLATE(A651,""auto"",""en"")"),"Baby Products")</f>
        <v>Baby Products</v>
      </c>
      <c r="H651" s="3" t="str">
        <f ca="1">IFERROR(__xludf.DUMMYFUNCTION("GOOGLETRANSLATE(B651,""auto"",""en"")"),"Wet / out of paper")</f>
        <v>Wet / out of paper</v>
      </c>
      <c r="I651" s="3" t="str">
        <f ca="1">IFERROR(__xludf.DUMMYFUNCTION("GOOGLETRANSLATE(C651,""auto"",""en"")"),"Baby pumping paper")</f>
        <v>Baby pumping paper</v>
      </c>
    </row>
    <row r="652" spans="1:9" ht="13" x14ac:dyDescent="0.15">
      <c r="A652" s="2" t="s">
        <v>681</v>
      </c>
      <c r="B652" s="2" t="s">
        <v>684</v>
      </c>
      <c r="C652" s="2" t="s">
        <v>136</v>
      </c>
      <c r="D652" s="3">
        <v>1404943</v>
      </c>
      <c r="E652" s="3">
        <v>244771</v>
      </c>
      <c r="F652" s="3">
        <v>51211</v>
      </c>
      <c r="G652" s="3" t="str">
        <f ca="1">IFERROR(__xludf.DUMMYFUNCTION("GOOGLETRANSLATE(A652,""auto"",""en"")"),"Baby Products")</f>
        <v>Baby Products</v>
      </c>
      <c r="H652" s="3" t="str">
        <f ca="1">IFERROR(__xludf.DUMMYFUNCTION("GOOGLETRANSLATE(B652,""auto"",""en"")"),"Baby bath skin care")</f>
        <v>Baby bath skin care</v>
      </c>
      <c r="I652" s="3" t="str">
        <f ca="1">IFERROR(__xludf.DUMMYFUNCTION("GOOGLETRANSLATE(C652,""auto"",""en"")"),"Laundry soap")</f>
        <v>Laundry soap</v>
      </c>
    </row>
    <row r="653" spans="1:9" ht="13" x14ac:dyDescent="0.15">
      <c r="A653" s="2" t="s">
        <v>681</v>
      </c>
      <c r="B653" s="2" t="s">
        <v>684</v>
      </c>
      <c r="C653" s="2" t="s">
        <v>685</v>
      </c>
      <c r="D653" s="3">
        <v>1404943</v>
      </c>
      <c r="E653" s="3">
        <v>244771</v>
      </c>
      <c r="F653" s="3">
        <v>46903</v>
      </c>
      <c r="G653" s="3" t="str">
        <f ca="1">IFERROR(__xludf.DUMMYFUNCTION("GOOGLETRANSLATE(A653,""auto"",""en"")"),"Baby Products")</f>
        <v>Baby Products</v>
      </c>
      <c r="H653" s="3" t="str">
        <f ca="1">IFERROR(__xludf.DUMMYFUNCTION("GOOGLETRANSLATE(B653,""auto"",""en"")"),"Baby bath skin care")</f>
        <v>Baby bath skin care</v>
      </c>
      <c r="I653" s="3" t="str">
        <f ca="1">IFERROR(__xludf.DUMMYFUNCTION("GOOGLETRANSLATE(C653,""auto"",""en"")"),"Bath towel / towel")</f>
        <v>Bath towel / towel</v>
      </c>
    </row>
    <row r="654" spans="1:9" ht="13" x14ac:dyDescent="0.15">
      <c r="A654" s="2" t="s">
        <v>681</v>
      </c>
      <c r="B654" s="2" t="s">
        <v>684</v>
      </c>
      <c r="C654" s="2" t="s">
        <v>686</v>
      </c>
      <c r="D654" s="3">
        <v>1404943</v>
      </c>
      <c r="E654" s="3">
        <v>244771</v>
      </c>
      <c r="F654" s="3">
        <v>41463</v>
      </c>
      <c r="G654" s="3" t="str">
        <f ca="1">IFERROR(__xludf.DUMMYFUNCTION("GOOGLETRANSLATE(A654,""auto"",""en"")"),"Baby Products")</f>
        <v>Baby Products</v>
      </c>
      <c r="H654" s="3" t="str">
        <f ca="1">IFERROR(__xludf.DUMMYFUNCTION("GOOGLETRANSLATE(B654,""auto"",""en"")"),"Baby bath skin care")</f>
        <v>Baby bath skin care</v>
      </c>
      <c r="I654" s="3" t="str">
        <f ca="1">IFERROR(__xludf.DUMMYFUNCTION("GOOGLETRANSLATE(C654,""auto"",""en"")"),"Hair and Body")</f>
        <v>Hair and Body</v>
      </c>
    </row>
    <row r="655" spans="1:9" ht="13" x14ac:dyDescent="0.15">
      <c r="A655" s="2" t="s">
        <v>681</v>
      </c>
      <c r="B655" s="2" t="s">
        <v>684</v>
      </c>
      <c r="C655" s="2" t="s">
        <v>92</v>
      </c>
      <c r="D655" s="3">
        <v>1404943</v>
      </c>
      <c r="E655" s="3">
        <v>244771</v>
      </c>
      <c r="F655" s="3">
        <v>17248</v>
      </c>
      <c r="G655" s="3" t="str">
        <f ca="1">IFERROR(__xludf.DUMMYFUNCTION("GOOGLETRANSLATE(A655,""auto"",""en"")"),"Baby Products")</f>
        <v>Baby Products</v>
      </c>
      <c r="H655" s="3" t="str">
        <f ca="1">IFERROR(__xludf.DUMMYFUNCTION("GOOGLETRANSLATE(B655,""auto"",""en"")"),"Baby bath skin care")</f>
        <v>Baby bath skin care</v>
      </c>
      <c r="I655" s="3" t="str">
        <f ca="1">IFERROR(__xludf.DUMMYFUNCTION("GOOGLETRANSLATE(C655,""auto"",""en"")"),"other")</f>
        <v>other</v>
      </c>
    </row>
    <row r="656" spans="1:9" ht="13" x14ac:dyDescent="0.15">
      <c r="A656" s="2" t="s">
        <v>681</v>
      </c>
      <c r="B656" s="2" t="s">
        <v>684</v>
      </c>
      <c r="C656" s="2" t="s">
        <v>687</v>
      </c>
      <c r="D656" s="3">
        <v>1404943</v>
      </c>
      <c r="E656" s="3">
        <v>244771</v>
      </c>
      <c r="F656" s="3">
        <v>16110</v>
      </c>
      <c r="G656" s="3" t="str">
        <f ca="1">IFERROR(__xludf.DUMMYFUNCTION("GOOGLETRANSLATE(A656,""auto"",""en"")"),"Baby Products")</f>
        <v>Baby Products</v>
      </c>
      <c r="H656" s="3" t="str">
        <f ca="1">IFERROR(__xludf.DUMMYFUNCTION("GOOGLETRANSLATE(B656,""auto"",""en"")"),"Baby bath skin care")</f>
        <v>Baby bath skin care</v>
      </c>
      <c r="I656" s="3" t="str">
        <f ca="1">IFERROR(__xludf.DUMMYFUNCTION("GOOGLETRANSLATE(C656,""auto"",""en"")"),"Shampoo cap")</f>
        <v>Shampoo cap</v>
      </c>
    </row>
    <row r="657" spans="1:9" ht="13" x14ac:dyDescent="0.15">
      <c r="A657" s="2" t="s">
        <v>681</v>
      </c>
      <c r="B657" s="2" t="s">
        <v>684</v>
      </c>
      <c r="C657" s="2" t="s">
        <v>688</v>
      </c>
      <c r="D657" s="3">
        <v>1404943</v>
      </c>
      <c r="E657" s="3">
        <v>244771</v>
      </c>
      <c r="F657" s="3">
        <v>15346</v>
      </c>
      <c r="G657" s="3" t="str">
        <f ca="1">IFERROR(__xludf.DUMMYFUNCTION("GOOGLETRANSLATE(A657,""auto"",""en"")"),"Baby Products")</f>
        <v>Baby Products</v>
      </c>
      <c r="H657" s="3" t="str">
        <f ca="1">IFERROR(__xludf.DUMMYFUNCTION("GOOGLETRANSLATE(B657,""auto"",""en"")"),"Baby bath skin care")</f>
        <v>Baby bath skin care</v>
      </c>
      <c r="I657" s="3" t="str">
        <f ca="1">IFERROR(__xludf.DUMMYFUNCTION("GOOGLETRANSLATE(C657,""auto"",""en"")"),"Moisturizing cream")</f>
        <v>Moisturizing cream</v>
      </c>
    </row>
    <row r="658" spans="1:9" ht="13" x14ac:dyDescent="0.15">
      <c r="A658" s="2" t="s">
        <v>681</v>
      </c>
      <c r="B658" s="2" t="s">
        <v>684</v>
      </c>
      <c r="C658" s="2" t="s">
        <v>689</v>
      </c>
      <c r="D658" s="3">
        <v>1404943</v>
      </c>
      <c r="E658" s="3">
        <v>244771</v>
      </c>
      <c r="F658" s="3">
        <v>15081</v>
      </c>
      <c r="G658" s="3" t="str">
        <f ca="1">IFERROR(__xludf.DUMMYFUNCTION("GOOGLETRANSLATE(A658,""auto"",""en"")"),"Baby Products")</f>
        <v>Baby Products</v>
      </c>
      <c r="H658" s="3" t="str">
        <f ca="1">IFERROR(__xludf.DUMMYFUNCTION("GOOGLETRANSLATE(B658,""auto"",""en"")"),"Baby bath skin care")</f>
        <v>Baby bath skin care</v>
      </c>
      <c r="I658" s="3" t="str">
        <f ca="1">IFERROR(__xludf.DUMMYFUNCTION("GOOGLETRANSLATE(C658,""auto"",""en"")"),"bathtub")</f>
        <v>bathtub</v>
      </c>
    </row>
    <row r="659" spans="1:9" ht="13" x14ac:dyDescent="0.15">
      <c r="A659" s="2" t="s">
        <v>681</v>
      </c>
      <c r="B659" s="2" t="s">
        <v>684</v>
      </c>
      <c r="C659" s="2" t="s">
        <v>690</v>
      </c>
      <c r="D659" s="3">
        <v>1404943</v>
      </c>
      <c r="E659" s="3">
        <v>244771</v>
      </c>
      <c r="F659" s="3">
        <v>13394</v>
      </c>
      <c r="G659" s="3" t="str">
        <f ca="1">IFERROR(__xludf.DUMMYFUNCTION("GOOGLETRANSLATE(A659,""auto"",""en"")"),"Baby Products")</f>
        <v>Baby Products</v>
      </c>
      <c r="H659" s="3" t="str">
        <f ca="1">IFERROR(__xludf.DUMMYFUNCTION("GOOGLETRANSLATE(B659,""auto"",""en"")"),"Baby bath skin care")</f>
        <v>Baby bath skin care</v>
      </c>
      <c r="I659" s="3" t="str">
        <f ca="1">IFERROR(__xludf.DUMMYFUNCTION("GOOGLETRANSLATE(C659,""auto"",""en"")"),"Talcum powder")</f>
        <v>Talcum powder</v>
      </c>
    </row>
    <row r="660" spans="1:9" ht="13" x14ac:dyDescent="0.15">
      <c r="A660" s="2" t="s">
        <v>681</v>
      </c>
      <c r="B660" s="2" t="s">
        <v>684</v>
      </c>
      <c r="C660" s="2" t="s">
        <v>216</v>
      </c>
      <c r="D660" s="3">
        <v>1404943</v>
      </c>
      <c r="E660" s="3">
        <v>244771</v>
      </c>
      <c r="F660" s="3">
        <v>6382</v>
      </c>
      <c r="G660" s="3" t="str">
        <f ca="1">IFERROR(__xludf.DUMMYFUNCTION("GOOGLETRANSLATE(A660,""auto"",""en"")"),"Baby Products")</f>
        <v>Baby Products</v>
      </c>
      <c r="H660" s="3" t="str">
        <f ca="1">IFERROR(__xludf.DUMMYFUNCTION("GOOGLETRANSLATE(B660,""auto"",""en"")"),"Baby bath skin care")</f>
        <v>Baby bath skin care</v>
      </c>
      <c r="I660" s="3" t="str">
        <f ca="1">IFERROR(__xludf.DUMMYFUNCTION("GOOGLETRANSLATE(C660,""auto"",""en"")"),"washbasin")</f>
        <v>washbasin</v>
      </c>
    </row>
    <row r="661" spans="1:9" ht="13" x14ac:dyDescent="0.15">
      <c r="A661" s="2" t="s">
        <v>681</v>
      </c>
      <c r="B661" s="2" t="s">
        <v>684</v>
      </c>
      <c r="C661" s="2" t="s">
        <v>691</v>
      </c>
      <c r="D661" s="3">
        <v>1404943</v>
      </c>
      <c r="E661" s="3">
        <v>244771</v>
      </c>
      <c r="F661" s="3">
        <v>5435</v>
      </c>
      <c r="G661" s="3" t="str">
        <f ca="1">IFERROR(__xludf.DUMMYFUNCTION("GOOGLETRANSLATE(A661,""auto"",""en"")"),"Baby Products")</f>
        <v>Baby Products</v>
      </c>
      <c r="H661" s="3" t="str">
        <f ca="1">IFERROR(__xludf.DUMMYFUNCTION("GOOGLETRANSLATE(B661,""auto"",""en"")"),"Baby bath skin care")</f>
        <v>Baby bath skin care</v>
      </c>
      <c r="I661" s="3" t="str">
        <f ca="1">IFERROR(__xludf.DUMMYFUNCTION("GOOGLETRANSLATE(C661,""auto"",""en"")"),"Nappy Cream")</f>
        <v>Nappy Cream</v>
      </c>
    </row>
    <row r="662" spans="1:9" ht="13" x14ac:dyDescent="0.15">
      <c r="A662" s="2" t="s">
        <v>681</v>
      </c>
      <c r="B662" s="2" t="s">
        <v>684</v>
      </c>
      <c r="C662" s="2" t="s">
        <v>692</v>
      </c>
      <c r="D662" s="3">
        <v>1404943</v>
      </c>
      <c r="E662" s="3">
        <v>244771</v>
      </c>
      <c r="F662" s="3">
        <v>2815</v>
      </c>
      <c r="G662" s="3" t="str">
        <f ca="1">IFERROR(__xludf.DUMMYFUNCTION("GOOGLETRANSLATE(A662,""auto"",""en"")"),"Baby Products")</f>
        <v>Baby Products</v>
      </c>
      <c r="H662" s="3" t="str">
        <f ca="1">IFERROR(__xludf.DUMMYFUNCTION("GOOGLETRANSLATE(B662,""auto"",""en"")"),"Baby bath skin care")</f>
        <v>Baby bath skin care</v>
      </c>
      <c r="I662" s="3" t="str">
        <f ca="1">IFERROR(__xludf.DUMMYFUNCTION("GOOGLETRANSLATE(C662,""auto"",""en"")"),"Bath skin care gift box")</f>
        <v>Bath skin care gift box</v>
      </c>
    </row>
    <row r="663" spans="1:9" ht="13" x14ac:dyDescent="0.15">
      <c r="A663" s="2" t="s">
        <v>681</v>
      </c>
      <c r="B663" s="2" t="s">
        <v>684</v>
      </c>
      <c r="C663" s="2" t="s">
        <v>693</v>
      </c>
      <c r="D663" s="3">
        <v>1404943</v>
      </c>
      <c r="E663" s="3">
        <v>244771</v>
      </c>
      <c r="F663" s="3">
        <v>2554</v>
      </c>
      <c r="G663" s="3" t="str">
        <f ca="1">IFERROR(__xludf.DUMMYFUNCTION("GOOGLETRANSLATE(A663,""auto"",""en"")"),"Baby Products")</f>
        <v>Baby Products</v>
      </c>
      <c r="H663" s="3" t="str">
        <f ca="1">IFERROR(__xludf.DUMMYFUNCTION("GOOGLETRANSLATE(B663,""auto"",""en"")"),"Baby bath skin care")</f>
        <v>Baby bath skin care</v>
      </c>
      <c r="I663" s="3" t="str">
        <f ca="1">IFERROR(__xludf.DUMMYFUNCTION("GOOGLETRANSLATE(C663,""auto"",""en"")"),"Water temperature gauge")</f>
        <v>Water temperature gauge</v>
      </c>
    </row>
    <row r="664" spans="1:9" ht="13" x14ac:dyDescent="0.15">
      <c r="A664" s="2" t="s">
        <v>681</v>
      </c>
      <c r="B664" s="2" t="s">
        <v>684</v>
      </c>
      <c r="C664" s="2" t="s">
        <v>694</v>
      </c>
      <c r="D664" s="3">
        <v>1404943</v>
      </c>
      <c r="E664" s="3">
        <v>244771</v>
      </c>
      <c r="F664" s="3">
        <v>2426</v>
      </c>
      <c r="G664" s="3" t="str">
        <f ca="1">IFERROR(__xludf.DUMMYFUNCTION("GOOGLETRANSLATE(A664,""auto"",""en"")"),"Baby Products")</f>
        <v>Baby Products</v>
      </c>
      <c r="H664" s="3" t="str">
        <f ca="1">IFERROR(__xludf.DUMMYFUNCTION("GOOGLETRANSLATE(B664,""auto"",""en"")"),"Baby bath skin care")</f>
        <v>Baby bath skin care</v>
      </c>
      <c r="I664" s="3" t="str">
        <f ca="1">IFERROR(__xludf.DUMMYFUNCTION("GOOGLETRANSLATE(C664,""auto"",""en"")"),"Bath Network / Bath pocket")</f>
        <v>Bath Network / Bath pocket</v>
      </c>
    </row>
    <row r="665" spans="1:9" ht="13" x14ac:dyDescent="0.15">
      <c r="A665" s="2" t="s">
        <v>681</v>
      </c>
      <c r="B665" s="2" t="s">
        <v>684</v>
      </c>
      <c r="C665" s="2" t="s">
        <v>695</v>
      </c>
      <c r="D665" s="3">
        <v>1404943</v>
      </c>
      <c r="E665" s="3">
        <v>244771</v>
      </c>
      <c r="F665" s="3">
        <v>2356</v>
      </c>
      <c r="G665" s="3" t="str">
        <f ca="1">IFERROR(__xludf.DUMMYFUNCTION("GOOGLETRANSLATE(A665,""auto"",""en"")"),"Baby Products")</f>
        <v>Baby Products</v>
      </c>
      <c r="H665" s="3" t="str">
        <f ca="1">IFERROR(__xludf.DUMMYFUNCTION("GOOGLETRANSLATE(B665,""auto"",""en"")"),"Baby bath skin care")</f>
        <v>Baby bath skin care</v>
      </c>
      <c r="I665" s="3" t="str">
        <f ca="1">IFERROR(__xludf.DUMMYFUNCTION("GOOGLETRANSLATE(C665,""auto"",""en"")"),"Cotton bath / wipe")</f>
        <v>Cotton bath / wipe</v>
      </c>
    </row>
    <row r="666" spans="1:9" ht="13" x14ac:dyDescent="0.15">
      <c r="A666" s="2" t="s">
        <v>681</v>
      </c>
      <c r="B666" s="2" t="s">
        <v>684</v>
      </c>
      <c r="C666" s="2" t="s">
        <v>696</v>
      </c>
      <c r="D666" s="3">
        <v>1404943</v>
      </c>
      <c r="E666" s="3">
        <v>244771</v>
      </c>
      <c r="F666" s="3">
        <v>1540</v>
      </c>
      <c r="G666" s="3" t="str">
        <f ca="1">IFERROR(__xludf.DUMMYFUNCTION("GOOGLETRANSLATE(A666,""auto"",""en"")"),"Baby Products")</f>
        <v>Baby Products</v>
      </c>
      <c r="H666" s="3" t="str">
        <f ca="1">IFERROR(__xludf.DUMMYFUNCTION("GOOGLETRANSLATE(B666,""auto"",""en"")"),"Baby bath skin care")</f>
        <v>Baby bath skin care</v>
      </c>
      <c r="I666" s="3" t="str">
        <f ca="1">IFERROR(__xludf.DUMMYFUNCTION("GOOGLETRANSLATE(C666,""auto"",""en"")"),"Wash Mu combo")</f>
        <v>Wash Mu combo</v>
      </c>
    </row>
    <row r="667" spans="1:9" ht="13" x14ac:dyDescent="0.15">
      <c r="A667" s="2" t="s">
        <v>681</v>
      </c>
      <c r="B667" s="2" t="s">
        <v>684</v>
      </c>
      <c r="C667" s="2" t="s">
        <v>697</v>
      </c>
      <c r="D667" s="3">
        <v>1404943</v>
      </c>
      <c r="E667" s="3">
        <v>244771</v>
      </c>
      <c r="F667" s="3">
        <v>1130</v>
      </c>
      <c r="G667" s="3" t="str">
        <f ca="1">IFERROR(__xludf.DUMMYFUNCTION("GOOGLETRANSLATE(A667,""auto"",""en"")"),"Baby Products")</f>
        <v>Baby Products</v>
      </c>
      <c r="H667" s="3" t="str">
        <f ca="1">IFERROR(__xludf.DUMMYFUNCTION("GOOGLETRANSLATE(B667,""auto"",""en"")"),"Baby bath skin care")</f>
        <v>Baby bath skin care</v>
      </c>
      <c r="I667" s="3" t="str">
        <f ca="1">IFERROR(__xludf.DUMMYFUNCTION("GOOGLETRANSLATE(C667,""auto"",""en"")"),"Sunscreen / Lotion")</f>
        <v>Sunscreen / Lotion</v>
      </c>
    </row>
    <row r="668" spans="1:9" ht="13" x14ac:dyDescent="0.15">
      <c r="A668" s="2" t="s">
        <v>681</v>
      </c>
      <c r="B668" s="2" t="s">
        <v>684</v>
      </c>
      <c r="C668" s="2" t="s">
        <v>698</v>
      </c>
      <c r="D668" s="3">
        <v>1404943</v>
      </c>
      <c r="E668" s="3">
        <v>244771</v>
      </c>
      <c r="F668" s="3">
        <v>1105</v>
      </c>
      <c r="G668" s="3" t="str">
        <f ca="1">IFERROR(__xludf.DUMMYFUNCTION("GOOGLETRANSLATE(A668,""auto"",""en"")"),"Baby Products")</f>
        <v>Baby Products</v>
      </c>
      <c r="H668" s="3" t="str">
        <f ca="1">IFERROR(__xludf.DUMMYFUNCTION("GOOGLETRANSLATE(B668,""auto"",""en"")"),"Baby bath skin care")</f>
        <v>Baby bath skin care</v>
      </c>
      <c r="I668" s="3" t="str">
        <f ca="1">IFERROR(__xludf.DUMMYFUNCTION("GOOGLETRANSLATE(C668,""auto"",""en"")"),"handwashing fluid")</f>
        <v>handwashing fluid</v>
      </c>
    </row>
    <row r="669" spans="1:9" ht="13" x14ac:dyDescent="0.15">
      <c r="A669" s="2" t="s">
        <v>681</v>
      </c>
      <c r="B669" s="2" t="s">
        <v>684</v>
      </c>
      <c r="C669" s="2" t="s">
        <v>699</v>
      </c>
      <c r="D669" s="3">
        <v>1404943</v>
      </c>
      <c r="E669" s="3">
        <v>244771</v>
      </c>
      <c r="F669" s="3">
        <v>815</v>
      </c>
      <c r="G669" s="3" t="str">
        <f ca="1">IFERROR(__xludf.DUMMYFUNCTION("GOOGLETRANSLATE(A669,""auto"",""en"")"),"Baby Products")</f>
        <v>Baby Products</v>
      </c>
      <c r="H669" s="3" t="str">
        <f ca="1">IFERROR(__xludf.DUMMYFUNCTION("GOOGLETRANSLATE(B669,""auto"",""en"")"),"Baby bath skin care")</f>
        <v>Baby bath skin care</v>
      </c>
      <c r="I669" s="3" t="str">
        <f ca="1">IFERROR(__xludf.DUMMYFUNCTION("GOOGLETRANSLATE(C669,""auto"",""en"")"),"Massage Oil")</f>
        <v>Massage Oil</v>
      </c>
    </row>
    <row r="670" spans="1:9" ht="13" x14ac:dyDescent="0.15">
      <c r="A670" s="2" t="s">
        <v>681</v>
      </c>
      <c r="B670" s="2" t="s">
        <v>684</v>
      </c>
      <c r="C670" s="2" t="s">
        <v>700</v>
      </c>
      <c r="D670" s="3">
        <v>1404943</v>
      </c>
      <c r="E670" s="3">
        <v>244771</v>
      </c>
      <c r="F670" s="3">
        <v>563</v>
      </c>
      <c r="G670" s="3" t="str">
        <f ca="1">IFERROR(__xludf.DUMMYFUNCTION("GOOGLETRANSLATE(A670,""auto"",""en"")"),"Baby Products")</f>
        <v>Baby Products</v>
      </c>
      <c r="H670" s="3" t="str">
        <f ca="1">IFERROR(__xludf.DUMMYFUNCTION("GOOGLETRANSLATE(B670,""auto"",""en"")"),"Baby bath skin care")</f>
        <v>Baby bath skin care</v>
      </c>
      <c r="I670" s="3" t="str">
        <f ca="1">IFERROR(__xludf.DUMMYFUNCTION("GOOGLETRANSLATE(C670,""auto"",""en"")"),"Children soap")</f>
        <v>Children soap</v>
      </c>
    </row>
    <row r="671" spans="1:9" ht="13" x14ac:dyDescent="0.15">
      <c r="A671" s="2" t="s">
        <v>681</v>
      </c>
      <c r="B671" s="2" t="s">
        <v>684</v>
      </c>
      <c r="C671" s="2" t="s">
        <v>701</v>
      </c>
      <c r="D671" s="3">
        <v>1404943</v>
      </c>
      <c r="E671" s="3">
        <v>244771</v>
      </c>
      <c r="F671" s="3">
        <v>466</v>
      </c>
      <c r="G671" s="3" t="str">
        <f ca="1">IFERROR(__xludf.DUMMYFUNCTION("GOOGLETRANSLATE(A671,""auto"",""en"")"),"Baby Products")</f>
        <v>Baby Products</v>
      </c>
      <c r="H671" s="3" t="str">
        <f ca="1">IFERROR(__xludf.DUMMYFUNCTION("GOOGLETRANSLATE(B671,""auto"",""en"")"),"Baby bath skin care")</f>
        <v>Baby bath skin care</v>
      </c>
      <c r="I671" s="3" t="str">
        <f ca="1">IFERROR(__xludf.DUMMYFUNCTION("GOOGLETRANSLATE(C671,""auto"",""en"")"),"Shower Gel")</f>
        <v>Shower Gel</v>
      </c>
    </row>
    <row r="672" spans="1:9" ht="13" x14ac:dyDescent="0.15">
      <c r="A672" s="2" t="s">
        <v>681</v>
      </c>
      <c r="B672" s="2" t="s">
        <v>684</v>
      </c>
      <c r="C672" s="2" t="s">
        <v>702</v>
      </c>
      <c r="D672" s="3">
        <v>1404943</v>
      </c>
      <c r="E672" s="3">
        <v>244771</v>
      </c>
      <c r="F672" s="3">
        <v>188</v>
      </c>
      <c r="G672" s="3" t="str">
        <f ca="1">IFERROR(__xludf.DUMMYFUNCTION("GOOGLETRANSLATE(A672,""auto"",""en"")"),"Baby Products")</f>
        <v>Baby Products</v>
      </c>
      <c r="H672" s="3" t="str">
        <f ca="1">IFERROR(__xludf.DUMMYFUNCTION("GOOGLETRANSLATE(B672,""auto"",""en"")"),"Baby bath skin care")</f>
        <v>Baby bath skin care</v>
      </c>
      <c r="I672" s="3" t="str">
        <f ca="1">IFERROR(__xludf.DUMMYFUNCTION("GOOGLETRANSLATE(C672,""auto"",""en"")"),"Shampoo cup / spoon of water")</f>
        <v>Shampoo cup / spoon of water</v>
      </c>
    </row>
    <row r="673" spans="1:9" ht="13" x14ac:dyDescent="0.15">
      <c r="A673" s="2" t="s">
        <v>681</v>
      </c>
      <c r="B673" s="2" t="s">
        <v>684</v>
      </c>
      <c r="C673" s="2" t="s">
        <v>703</v>
      </c>
      <c r="D673" s="3">
        <v>1404943</v>
      </c>
      <c r="E673" s="3">
        <v>244771</v>
      </c>
      <c r="F673" s="3">
        <v>164</v>
      </c>
      <c r="G673" s="3" t="str">
        <f ca="1">IFERROR(__xludf.DUMMYFUNCTION("GOOGLETRANSLATE(A673,""auto"",""en"")"),"Baby Products")</f>
        <v>Baby Products</v>
      </c>
      <c r="H673" s="3" t="str">
        <f ca="1">IFERROR(__xludf.DUMMYFUNCTION("GOOGLETRANSLATE(B673,""auto"",""en"")"),"Baby bath skin care")</f>
        <v>Baby bath skin care</v>
      </c>
      <c r="I673" s="3" t="str">
        <f ca="1">IFERROR(__xludf.DUMMYFUNCTION("GOOGLETRANSLATE(C673,""auto"",""en"")"),"shampoo")</f>
        <v>shampoo</v>
      </c>
    </row>
    <row r="674" spans="1:9" ht="13" x14ac:dyDescent="0.15">
      <c r="A674" s="2" t="s">
        <v>681</v>
      </c>
      <c r="B674" s="2" t="s">
        <v>684</v>
      </c>
      <c r="C674" s="2" t="s">
        <v>704</v>
      </c>
      <c r="D674" s="3">
        <v>1404943</v>
      </c>
      <c r="E674" s="3">
        <v>244771</v>
      </c>
      <c r="F674" s="3">
        <v>75</v>
      </c>
      <c r="G674" s="3" t="str">
        <f ca="1">IFERROR(__xludf.DUMMYFUNCTION("GOOGLETRANSLATE(A674,""auto"",""en"")"),"Baby Products")</f>
        <v>Baby Products</v>
      </c>
      <c r="H674" s="3" t="str">
        <f ca="1">IFERROR(__xludf.DUMMYFUNCTION("GOOGLETRANSLATE(B674,""auto"",""en"")"),"Baby bath skin care")</f>
        <v>Baby bath skin care</v>
      </c>
      <c r="I674" s="3" t="str">
        <f ca="1">IFERROR(__xludf.DUMMYFUNCTION("GOOGLETRANSLATE(C674,""auto"",""en"")"),"Lip / Lip")</f>
        <v>Lip / Lip</v>
      </c>
    </row>
    <row r="675" spans="1:9" ht="13" x14ac:dyDescent="0.15">
      <c r="A675" s="2" t="s">
        <v>681</v>
      </c>
      <c r="B675" s="2" t="s">
        <v>684</v>
      </c>
      <c r="C675" s="2" t="s">
        <v>705</v>
      </c>
      <c r="D675" s="3">
        <v>1404943</v>
      </c>
      <c r="E675" s="3">
        <v>244771</v>
      </c>
      <c r="F675" s="3">
        <v>29</v>
      </c>
      <c r="G675" s="3" t="str">
        <f ca="1">IFERROR(__xludf.DUMMYFUNCTION("GOOGLETRANSLATE(A675,""auto"",""en"")"),"Baby Products")</f>
        <v>Baby Products</v>
      </c>
      <c r="H675" s="3" t="str">
        <f ca="1">IFERROR(__xludf.DUMMYFUNCTION("GOOGLETRANSLATE(B675,""auto"",""en"")"),"Baby bath skin care")</f>
        <v>Baby bath skin care</v>
      </c>
      <c r="I675" s="3" t="str">
        <f ca="1">IFERROR(__xludf.DUMMYFUNCTION("GOOGLETRANSLATE(C675,""auto"",""en"")"),"Nose and eye cleaning fluid")</f>
        <v>Nose and eye cleaning fluid</v>
      </c>
    </row>
    <row r="676" spans="1:9" ht="13" x14ac:dyDescent="0.15">
      <c r="A676" s="2" t="s">
        <v>681</v>
      </c>
      <c r="B676" s="2" t="s">
        <v>684</v>
      </c>
      <c r="C676" s="2" t="s">
        <v>657</v>
      </c>
      <c r="D676" s="3">
        <v>1404943</v>
      </c>
      <c r="E676" s="3">
        <v>244771</v>
      </c>
      <c r="F676" s="3">
        <v>9</v>
      </c>
      <c r="G676" s="3" t="str">
        <f ca="1">IFERROR(__xludf.DUMMYFUNCTION("GOOGLETRANSLATE(A676,""auto"",""en"")"),"Baby Products")</f>
        <v>Baby Products</v>
      </c>
      <c r="H676" s="3" t="str">
        <f ca="1">IFERROR(__xludf.DUMMYFUNCTION("GOOGLETRANSLATE(B676,""auto"",""en"")"),"Baby bath skin care")</f>
        <v>Baby bath skin care</v>
      </c>
      <c r="I676" s="3" t="str">
        <f ca="1">IFERROR(__xludf.DUMMYFUNCTION("GOOGLETRANSLATE(C676,""auto"",""en"")"),"Bathrobes")</f>
        <v>Bathrobes</v>
      </c>
    </row>
    <row r="677" spans="1:9" ht="13" x14ac:dyDescent="0.15">
      <c r="A677" s="2" t="s">
        <v>681</v>
      </c>
      <c r="B677" s="2" t="s">
        <v>684</v>
      </c>
      <c r="C677" s="2" t="s">
        <v>706</v>
      </c>
      <c r="D677" s="3">
        <v>1404943</v>
      </c>
      <c r="E677" s="3">
        <v>244771</v>
      </c>
      <c r="F677" s="3">
        <v>5</v>
      </c>
      <c r="G677" s="3" t="str">
        <f ca="1">IFERROR(__xludf.DUMMYFUNCTION("GOOGLETRANSLATE(A677,""auto"",""en"")"),"Baby Products")</f>
        <v>Baby Products</v>
      </c>
      <c r="H677" s="3" t="str">
        <f ca="1">IFERROR(__xludf.DUMMYFUNCTION("GOOGLETRANSLATE(B677,""auto"",""en"")"),"Baby bath skin care")</f>
        <v>Baby bath skin care</v>
      </c>
      <c r="I677" s="3" t="str">
        <f ca="1">IFERROR(__xludf.DUMMYFUNCTION("GOOGLETRANSLATE(C677,""auto"",""en"")"),"conditioner")</f>
        <v>conditioner</v>
      </c>
    </row>
    <row r="678" spans="1:9" ht="13" x14ac:dyDescent="0.15">
      <c r="A678" s="2" t="s">
        <v>681</v>
      </c>
      <c r="B678" s="2" t="s">
        <v>684</v>
      </c>
      <c r="C678" s="2" t="s">
        <v>684</v>
      </c>
      <c r="D678" s="3">
        <v>1404943</v>
      </c>
      <c r="E678" s="3">
        <v>244771</v>
      </c>
      <c r="F678" s="3">
        <v>1</v>
      </c>
      <c r="G678" s="3" t="str">
        <f ca="1">IFERROR(__xludf.DUMMYFUNCTION("GOOGLETRANSLATE(A678,""auto"",""en"")"),"Baby Products")</f>
        <v>Baby Products</v>
      </c>
      <c r="H678" s="3" t="str">
        <f ca="1">IFERROR(__xludf.DUMMYFUNCTION("GOOGLETRANSLATE(B678,""auto"",""en"")"),"Baby bath skin care")</f>
        <v>Baby bath skin care</v>
      </c>
      <c r="I678" s="3" t="str">
        <f ca="1">IFERROR(__xludf.DUMMYFUNCTION("GOOGLETRANSLATE(C678,""auto"",""en"")"),"Baby bath skin care")</f>
        <v>Baby bath skin care</v>
      </c>
    </row>
    <row r="679" spans="1:9" ht="13" x14ac:dyDescent="0.15">
      <c r="A679" s="2" t="s">
        <v>681</v>
      </c>
      <c r="B679" s="2" t="s">
        <v>707</v>
      </c>
      <c r="C679" s="2" t="s">
        <v>708</v>
      </c>
      <c r="D679" s="3">
        <v>1404943</v>
      </c>
      <c r="E679" s="3">
        <v>161886</v>
      </c>
      <c r="F679" s="3">
        <v>82647</v>
      </c>
      <c r="G679" s="3" t="str">
        <f ca="1">IFERROR(__xludf.DUMMYFUNCTION("GOOGLETRANSLATE(A679,""auto"",""en"")"),"Baby Products")</f>
        <v>Baby Products</v>
      </c>
      <c r="H679" s="3" t="str">
        <f ca="1">IFERROR(__xludf.DUMMYFUNCTION("GOOGLETRANSLATE(B679,""auto"",""en"")"),"Cutlery / glass / Accessories")</f>
        <v>Cutlery / glass / Accessories</v>
      </c>
      <c r="I679" s="3" t="str">
        <f ca="1">IFERROR(__xludf.DUMMYFUNCTION("GOOGLETRANSLATE(C679,""auto"",""en"")"),"Bib / bibs / sweatbands / rice pocket")</f>
        <v>Bib / bibs / sweatbands / rice pocket</v>
      </c>
    </row>
    <row r="680" spans="1:9" ht="13" x14ac:dyDescent="0.15">
      <c r="A680" s="2" t="s">
        <v>681</v>
      </c>
      <c r="B680" s="2" t="s">
        <v>707</v>
      </c>
      <c r="C680" s="2" t="s">
        <v>709</v>
      </c>
      <c r="D680" s="3">
        <v>1404943</v>
      </c>
      <c r="E680" s="3">
        <v>161886</v>
      </c>
      <c r="F680" s="3">
        <v>33643</v>
      </c>
      <c r="G680" s="3" t="str">
        <f ca="1">IFERROR(__xludf.DUMMYFUNCTION("GOOGLETRANSLATE(A680,""auto"",""en"")"),"Baby Products")</f>
        <v>Baby Products</v>
      </c>
      <c r="H680" s="3" t="str">
        <f ca="1">IFERROR(__xludf.DUMMYFUNCTION("GOOGLETRANSLATE(B680,""auto"",""en"")"),"Cutlery / glass / Accessories")</f>
        <v>Cutlery / glass / Accessories</v>
      </c>
      <c r="I680" s="3" t="str">
        <f ca="1">IFERROR(__xludf.DUMMYFUNCTION("GOOGLETRANSLATE(C680,""auto"",""en"")"),"Children's tableware")</f>
        <v>Children's tableware</v>
      </c>
    </row>
    <row r="681" spans="1:9" ht="13" x14ac:dyDescent="0.15">
      <c r="A681" s="2" t="s">
        <v>681</v>
      </c>
      <c r="B681" s="2" t="s">
        <v>707</v>
      </c>
      <c r="C681" s="2" t="s">
        <v>710</v>
      </c>
      <c r="D681" s="3">
        <v>1404943</v>
      </c>
      <c r="E681" s="3">
        <v>161886</v>
      </c>
      <c r="F681" s="3">
        <v>27746</v>
      </c>
      <c r="G681" s="3" t="str">
        <f ca="1">IFERROR(__xludf.DUMMYFUNCTION("GOOGLETRANSLATE(A681,""auto"",""en"")"),"Baby Products")</f>
        <v>Baby Products</v>
      </c>
      <c r="H681" s="3" t="str">
        <f ca="1">IFERROR(__xludf.DUMMYFUNCTION("GOOGLETRANSLATE(B681,""auto"",""en"")"),"Cutlery / glass / Accessories")</f>
        <v>Cutlery / glass / Accessories</v>
      </c>
      <c r="I681" s="3" t="str">
        <f ca="1">IFERROR(__xludf.DUMMYFUNCTION("GOOGLETRANSLATE(C681,""auto"",""en"")"),"Learn to drink cup")</f>
        <v>Learn to drink cup</v>
      </c>
    </row>
    <row r="682" spans="1:9" ht="13" x14ac:dyDescent="0.15">
      <c r="A682" s="2" t="s">
        <v>681</v>
      </c>
      <c r="B682" s="2" t="s">
        <v>707</v>
      </c>
      <c r="C682" s="2" t="s">
        <v>711</v>
      </c>
      <c r="D682" s="3">
        <v>1404943</v>
      </c>
      <c r="E682" s="3">
        <v>161886</v>
      </c>
      <c r="F682" s="3">
        <v>9930</v>
      </c>
      <c r="G682" s="3" t="str">
        <f ca="1">IFERROR(__xludf.DUMMYFUNCTION("GOOGLETRANSLATE(A682,""auto"",""en"")"),"Baby Products")</f>
        <v>Baby Products</v>
      </c>
      <c r="H682" s="3" t="str">
        <f ca="1">IFERROR(__xludf.DUMMYFUNCTION("GOOGLETRANSLATE(B682,""auto"",""en"")"),"Cutlery / glass / Accessories")</f>
        <v>Cutlery / glass / Accessories</v>
      </c>
      <c r="I682" s="3" t="str">
        <f ca="1">IFERROR(__xludf.DUMMYFUNCTION("GOOGLETRANSLATE(C682,""auto"",""en"")"),"Children's Cup")</f>
        <v>Children's Cup</v>
      </c>
    </row>
    <row r="683" spans="1:9" ht="13" x14ac:dyDescent="0.15">
      <c r="A683" s="2" t="s">
        <v>681</v>
      </c>
      <c r="B683" s="2" t="s">
        <v>707</v>
      </c>
      <c r="C683" s="2" t="s">
        <v>712</v>
      </c>
      <c r="D683" s="3">
        <v>1404943</v>
      </c>
      <c r="E683" s="3">
        <v>161886</v>
      </c>
      <c r="F683" s="3">
        <v>4322</v>
      </c>
      <c r="G683" s="3" t="str">
        <f ca="1">IFERROR(__xludf.DUMMYFUNCTION("GOOGLETRANSLATE(A683,""auto"",""en"")"),"Baby Products")</f>
        <v>Baby Products</v>
      </c>
      <c r="H683" s="3" t="str">
        <f ca="1">IFERROR(__xludf.DUMMYFUNCTION("GOOGLETRANSLATE(B683,""auto"",""en"")"),"Cutlery / glass / Accessories")</f>
        <v>Cutlery / glass / Accessories</v>
      </c>
      <c r="I683" s="3" t="str">
        <f ca="1">IFERROR(__xludf.DUMMYFUNCTION("GOOGLETRANSLATE(C683,""auto"",""en"")"),"Food grinder")</f>
        <v>Food grinder</v>
      </c>
    </row>
    <row r="684" spans="1:9" ht="13" x14ac:dyDescent="0.15">
      <c r="A684" s="2" t="s">
        <v>681</v>
      </c>
      <c r="B684" s="2" t="s">
        <v>707</v>
      </c>
      <c r="C684" s="2" t="s">
        <v>713</v>
      </c>
      <c r="D684" s="3">
        <v>1404943</v>
      </c>
      <c r="E684" s="3">
        <v>161886</v>
      </c>
      <c r="F684" s="3">
        <v>2298</v>
      </c>
      <c r="G684" s="3" t="str">
        <f ca="1">IFERROR(__xludf.DUMMYFUNCTION("GOOGLETRANSLATE(A684,""auto"",""en"")"),"Baby Products")</f>
        <v>Baby Products</v>
      </c>
      <c r="H684" s="3" t="str">
        <f ca="1">IFERROR(__xludf.DUMMYFUNCTION("GOOGLETRANSLATE(B684,""auto"",""en"")"),"Cutlery / glass / Accessories")</f>
        <v>Cutlery / glass / Accessories</v>
      </c>
      <c r="I684" s="3" t="str">
        <f ca="1">IFERROR(__xludf.DUMMYFUNCTION("GOOGLETRANSLATE(C684,""auto"",""en"")"),"Given medicines device")</f>
        <v>Given medicines device</v>
      </c>
    </row>
    <row r="685" spans="1:9" ht="13" x14ac:dyDescent="0.15">
      <c r="A685" s="2" t="s">
        <v>681</v>
      </c>
      <c r="B685" s="2" t="s">
        <v>707</v>
      </c>
      <c r="C685" s="2" t="s">
        <v>714</v>
      </c>
      <c r="D685" s="3">
        <v>1404943</v>
      </c>
      <c r="E685" s="3">
        <v>161886</v>
      </c>
      <c r="F685" s="3">
        <v>1303</v>
      </c>
      <c r="G685" s="3" t="str">
        <f ca="1">IFERROR(__xludf.DUMMYFUNCTION("GOOGLETRANSLATE(A685,""auto"",""en"")"),"Baby Products")</f>
        <v>Baby Products</v>
      </c>
      <c r="H685" s="3" t="str">
        <f ca="1">IFERROR(__xludf.DUMMYFUNCTION("GOOGLETRANSLATE(B685,""auto"",""en"")"),"Cutlery / glass / Accessories")</f>
        <v>Cutlery / glass / Accessories</v>
      </c>
      <c r="I685" s="3" t="str">
        <f ca="1">IFERROR(__xludf.DUMMYFUNCTION("GOOGLETRANSLATE(C685,""auto"",""en"")"),"Crisper / lunch box")</f>
        <v>Crisper / lunch box</v>
      </c>
    </row>
    <row r="686" spans="1:9" ht="13" x14ac:dyDescent="0.15">
      <c r="A686" s="2" t="s">
        <v>681</v>
      </c>
      <c r="B686" s="2" t="s">
        <v>715</v>
      </c>
      <c r="C686" s="2" t="s">
        <v>716</v>
      </c>
      <c r="D686" s="3">
        <v>1404943</v>
      </c>
      <c r="E686" s="3">
        <v>145836</v>
      </c>
      <c r="F686" s="3">
        <v>135766</v>
      </c>
      <c r="G686" s="3" t="str">
        <f ca="1">IFERROR(__xludf.DUMMYFUNCTION("GOOGLETRANSLATE(A686,""auto"",""en"")"),"Baby Products")</f>
        <v>Baby Products</v>
      </c>
      <c r="H686" s="3" t="str">
        <f ca="1">IFERROR(__xludf.DUMMYFUNCTION("GOOGLETRANSLATE(B686,""auto"",""en"")"),"Fever mosquito repellent supplies")</f>
        <v>Fever mosquito repellent supplies</v>
      </c>
      <c r="I686" s="3" t="str">
        <f ca="1">IFERROR(__xludf.DUMMYFUNCTION("GOOGLETRANSLATE(C686,""auto"",""en"")"),"Insect repellent")</f>
        <v>Insect repellent</v>
      </c>
    </row>
    <row r="687" spans="1:9" ht="13" x14ac:dyDescent="0.15">
      <c r="A687" s="2" t="s">
        <v>681</v>
      </c>
      <c r="B687" s="2" t="s">
        <v>715</v>
      </c>
      <c r="C687" s="2" t="s">
        <v>717</v>
      </c>
      <c r="D687" s="3">
        <v>1404943</v>
      </c>
      <c r="E687" s="3">
        <v>145836</v>
      </c>
      <c r="F687" s="3">
        <v>5628</v>
      </c>
      <c r="G687" s="3" t="str">
        <f ca="1">IFERROR(__xludf.DUMMYFUNCTION("GOOGLETRANSLATE(A687,""auto"",""en"")"),"Baby Products")</f>
        <v>Baby Products</v>
      </c>
      <c r="H687" s="3" t="str">
        <f ca="1">IFERROR(__xludf.DUMMYFUNCTION("GOOGLETRANSLATE(B687,""auto"",""en"")"),"Fever mosquito repellent supplies")</f>
        <v>Fever mosquito repellent supplies</v>
      </c>
      <c r="I687" s="3" t="str">
        <f ca="1">IFERROR(__xludf.DUMMYFUNCTION("GOOGLETRANSLATE(C687,""auto"",""en"")"),"Cooling paste")</f>
        <v>Cooling paste</v>
      </c>
    </row>
    <row r="688" spans="1:9" ht="13" x14ac:dyDescent="0.15">
      <c r="A688" s="2" t="s">
        <v>681</v>
      </c>
      <c r="B688" s="2" t="s">
        <v>715</v>
      </c>
      <c r="C688" s="2" t="s">
        <v>718</v>
      </c>
      <c r="D688" s="3">
        <v>1404943</v>
      </c>
      <c r="E688" s="3">
        <v>145836</v>
      </c>
      <c r="F688" s="3">
        <v>4441</v>
      </c>
      <c r="G688" s="3" t="str">
        <f ca="1">IFERROR(__xludf.DUMMYFUNCTION("GOOGLETRANSLATE(A688,""auto"",""en"")"),"Baby Products")</f>
        <v>Baby Products</v>
      </c>
      <c r="H688" s="3" t="str">
        <f ca="1">IFERROR(__xludf.DUMMYFUNCTION("GOOGLETRANSLATE(B688,""auto"",""en"")"),"Fever mosquito repellent supplies")</f>
        <v>Fever mosquito repellent supplies</v>
      </c>
      <c r="I688" s="3" t="str">
        <f ca="1">IFERROR(__xludf.DUMMYFUNCTION("GOOGLETRANSLATE(C688,""auto"",""en"")"),"Goldwater")</f>
        <v>Goldwater</v>
      </c>
    </row>
    <row r="689" spans="1:9" ht="13" x14ac:dyDescent="0.15">
      <c r="A689" s="2" t="s">
        <v>681</v>
      </c>
      <c r="B689" s="2" t="s">
        <v>715</v>
      </c>
      <c r="C689" s="2" t="s">
        <v>715</v>
      </c>
      <c r="D689" s="3">
        <v>1404943</v>
      </c>
      <c r="E689" s="3">
        <v>145836</v>
      </c>
      <c r="F689" s="3">
        <v>5</v>
      </c>
      <c r="G689" s="3" t="str">
        <f ca="1">IFERROR(__xludf.DUMMYFUNCTION("GOOGLETRANSLATE(A689,""auto"",""en"")"),"Baby Products")</f>
        <v>Baby Products</v>
      </c>
      <c r="H689" s="3" t="str">
        <f ca="1">IFERROR(__xludf.DUMMYFUNCTION("GOOGLETRANSLATE(B689,""auto"",""en"")"),"Fever mosquito repellent supplies")</f>
        <v>Fever mosquito repellent supplies</v>
      </c>
      <c r="I689" s="3" t="str">
        <f ca="1">IFERROR(__xludf.DUMMYFUNCTION("GOOGLETRANSLATE(C689,""auto"",""en"")"),"Fever mosquito repellent supplies")</f>
        <v>Fever mosquito repellent supplies</v>
      </c>
    </row>
    <row r="690" spans="1:9" ht="13" x14ac:dyDescent="0.15">
      <c r="A690" s="2" t="s">
        <v>681</v>
      </c>
      <c r="B690" s="2" t="s">
        <v>719</v>
      </c>
      <c r="C690" s="2" t="s">
        <v>720</v>
      </c>
      <c r="D690" s="3">
        <v>1404943</v>
      </c>
      <c r="E690" s="3">
        <v>114934</v>
      </c>
      <c r="F690" s="3">
        <v>55564</v>
      </c>
      <c r="G690" s="3" t="str">
        <f ca="1">IFERROR(__xludf.DUMMYFUNCTION("GOOGLETRANSLATE(A690,""auto"",""en"")"),"Baby Products")</f>
        <v>Baby Products</v>
      </c>
      <c r="H690" s="3" t="str">
        <f ca="1">IFERROR(__xludf.DUMMYFUNCTION("GOOGLETRANSLATE(B690,""auto"",""en"")"),"Bottle / bottle related")</f>
        <v>Bottle / bottle related</v>
      </c>
      <c r="I690" s="3" t="str">
        <f ca="1">IFERROR(__xludf.DUMMYFUNCTION("GOOGLETRANSLATE(C690,""auto"",""en"")"),"Feeding bottle")</f>
        <v>Feeding bottle</v>
      </c>
    </row>
    <row r="691" spans="1:9" ht="13" x14ac:dyDescent="0.15">
      <c r="A691" s="2" t="s">
        <v>681</v>
      </c>
      <c r="B691" s="2" t="s">
        <v>719</v>
      </c>
      <c r="C691" s="2" t="s">
        <v>721</v>
      </c>
      <c r="D691" s="3">
        <v>1404943</v>
      </c>
      <c r="E691" s="3">
        <v>114934</v>
      </c>
      <c r="F691" s="3">
        <v>28391</v>
      </c>
      <c r="G691" s="3" t="str">
        <f ca="1">IFERROR(__xludf.DUMMYFUNCTION("GOOGLETRANSLATE(A691,""auto"",""en"")"),"Baby Products")</f>
        <v>Baby Products</v>
      </c>
      <c r="H691" s="3" t="str">
        <f ca="1">IFERROR(__xludf.DUMMYFUNCTION("GOOGLETRANSLATE(B691,""auto"",""en"")"),"Bottle / bottle related")</f>
        <v>Bottle / bottle related</v>
      </c>
      <c r="I691" s="3" t="str">
        <f ca="1">IFERROR(__xludf.DUMMYFUNCTION("GOOGLETRANSLATE(C691,""auto"",""en"")"),"nipple")</f>
        <v>nipple</v>
      </c>
    </row>
    <row r="692" spans="1:9" ht="13" x14ac:dyDescent="0.15">
      <c r="A692" s="2" t="s">
        <v>681</v>
      </c>
      <c r="B692" s="2" t="s">
        <v>719</v>
      </c>
      <c r="C692" s="2" t="s">
        <v>722</v>
      </c>
      <c r="D692" s="3">
        <v>1404943</v>
      </c>
      <c r="E692" s="3">
        <v>114934</v>
      </c>
      <c r="F692" s="3">
        <v>9077</v>
      </c>
      <c r="G692" s="3" t="str">
        <f ca="1">IFERROR(__xludf.DUMMYFUNCTION("GOOGLETRANSLATE(A692,""auto"",""en"")"),"Baby Products")</f>
        <v>Baby Products</v>
      </c>
      <c r="H692" s="3" t="str">
        <f ca="1">IFERROR(__xludf.DUMMYFUNCTION("GOOGLETRANSLATE(B692,""auto"",""en"")"),"Bottle / bottle related")</f>
        <v>Bottle / bottle related</v>
      </c>
      <c r="I692" s="3" t="str">
        <f ca="1">IFERROR(__xludf.DUMMYFUNCTION("GOOGLETRANSLATE(C692,""auto"",""en"")"),"Bottle box")</f>
        <v>Bottle box</v>
      </c>
    </row>
    <row r="693" spans="1:9" ht="13" x14ac:dyDescent="0.15">
      <c r="A693" s="2" t="s">
        <v>681</v>
      </c>
      <c r="B693" s="2" t="s">
        <v>719</v>
      </c>
      <c r="C693" s="2" t="s">
        <v>723</v>
      </c>
      <c r="D693" s="3">
        <v>1404943</v>
      </c>
      <c r="E693" s="3">
        <v>114934</v>
      </c>
      <c r="F693" s="3">
        <v>8445</v>
      </c>
      <c r="G693" s="3" t="str">
        <f ca="1">IFERROR(__xludf.DUMMYFUNCTION("GOOGLETRANSLATE(A693,""auto"",""en"")"),"Baby Products")</f>
        <v>Baby Products</v>
      </c>
      <c r="H693" s="3" t="str">
        <f ca="1">IFERROR(__xludf.DUMMYFUNCTION("GOOGLETRANSLATE(B693,""auto"",""en"")"),"Bottle / bottle related")</f>
        <v>Bottle / bottle related</v>
      </c>
      <c r="I693" s="3" t="str">
        <f ca="1">IFERROR(__xludf.DUMMYFUNCTION("GOOGLETRANSLATE(C693,""auto"",""en"")"),"Bottle brush")</f>
        <v>Bottle brush</v>
      </c>
    </row>
    <row r="694" spans="1:9" ht="13" x14ac:dyDescent="0.15">
      <c r="A694" s="2" t="s">
        <v>681</v>
      </c>
      <c r="B694" s="2" t="s">
        <v>719</v>
      </c>
      <c r="C694" s="2" t="s">
        <v>92</v>
      </c>
      <c r="D694" s="3">
        <v>1404943</v>
      </c>
      <c r="E694" s="3">
        <v>114934</v>
      </c>
      <c r="F694" s="3">
        <v>6774</v>
      </c>
      <c r="G694" s="3" t="str">
        <f ca="1">IFERROR(__xludf.DUMMYFUNCTION("GOOGLETRANSLATE(A694,""auto"",""en"")"),"Baby Products")</f>
        <v>Baby Products</v>
      </c>
      <c r="H694" s="3" t="str">
        <f ca="1">IFERROR(__xludf.DUMMYFUNCTION("GOOGLETRANSLATE(B694,""auto"",""en"")"),"Bottle / bottle related")</f>
        <v>Bottle / bottle related</v>
      </c>
      <c r="I694" s="3" t="str">
        <f ca="1">IFERROR(__xludf.DUMMYFUNCTION("GOOGLETRANSLATE(C694,""auto"",""en"")"),"other")</f>
        <v>other</v>
      </c>
    </row>
    <row r="695" spans="1:9" ht="13" x14ac:dyDescent="0.15">
      <c r="A695" s="2" t="s">
        <v>681</v>
      </c>
      <c r="B695" s="2" t="s">
        <v>719</v>
      </c>
      <c r="C695" s="2" t="s">
        <v>169</v>
      </c>
      <c r="D695" s="3">
        <v>1404943</v>
      </c>
      <c r="E695" s="3">
        <v>114934</v>
      </c>
      <c r="F695" s="3">
        <v>2514</v>
      </c>
      <c r="G695" s="3" t="str">
        <f ca="1">IFERROR(__xludf.DUMMYFUNCTION("GOOGLETRANSLATE(A695,""auto"",""en"")"),"Baby Products")</f>
        <v>Baby Products</v>
      </c>
      <c r="H695" s="3" t="str">
        <f ca="1">IFERROR(__xludf.DUMMYFUNCTION("GOOGLETRANSLATE(B695,""auto"",""en"")"),"Bottle / bottle related")</f>
        <v>Bottle / bottle related</v>
      </c>
      <c r="I695" s="3" t="str">
        <f ca="1">IFERROR(__xludf.DUMMYFUNCTION("GOOGLETRANSLATE(C695,""auto"",""en"")"),"straw")</f>
        <v>straw</v>
      </c>
    </row>
    <row r="696" spans="1:9" ht="13" x14ac:dyDescent="0.15">
      <c r="A696" s="2" t="s">
        <v>681</v>
      </c>
      <c r="B696" s="2" t="s">
        <v>719</v>
      </c>
      <c r="C696" s="2" t="s">
        <v>724</v>
      </c>
      <c r="D696" s="3">
        <v>1404943</v>
      </c>
      <c r="E696" s="3">
        <v>114934</v>
      </c>
      <c r="F696" s="3">
        <v>2130</v>
      </c>
      <c r="G696" s="3" t="str">
        <f ca="1">IFERROR(__xludf.DUMMYFUNCTION("GOOGLETRANSLATE(A696,""auto"",""en"")"),"Baby Products")</f>
        <v>Baby Products</v>
      </c>
      <c r="H696" s="3" t="str">
        <f ca="1">IFERROR(__xludf.DUMMYFUNCTION("GOOGLETRANSLATE(B696,""auto"",""en"")"),"Bottle / bottle related")</f>
        <v>Bottle / bottle related</v>
      </c>
      <c r="I696" s="3" t="str">
        <f ca="1">IFERROR(__xludf.DUMMYFUNCTION("GOOGLETRANSLATE(C696,""auto"",""en"")"),"Milk storage boxes / milk box")</f>
        <v>Milk storage boxes / milk box</v>
      </c>
    </row>
    <row r="697" spans="1:9" ht="13" x14ac:dyDescent="0.15">
      <c r="A697" s="2" t="s">
        <v>681</v>
      </c>
      <c r="B697" s="2" t="s">
        <v>719</v>
      </c>
      <c r="C697" s="2" t="s">
        <v>725</v>
      </c>
      <c r="D697" s="3">
        <v>1404943</v>
      </c>
      <c r="E697" s="3">
        <v>114934</v>
      </c>
      <c r="F697" s="3">
        <v>1687</v>
      </c>
      <c r="G697" s="3" t="str">
        <f ca="1">IFERROR(__xludf.DUMMYFUNCTION("GOOGLETRANSLATE(A697,""auto"",""en"")"),"Baby Products")</f>
        <v>Baby Products</v>
      </c>
      <c r="H697" s="3" t="str">
        <f ca="1">IFERROR(__xludf.DUMMYFUNCTION("GOOGLETRANSLATE(B697,""auto"",""en"")"),"Bottle / bottle related")</f>
        <v>Bottle / bottle related</v>
      </c>
      <c r="I697" s="3" t="str">
        <f ca="1">IFERROR(__xludf.DUMMYFUNCTION("GOOGLETRANSLATE(C697,""auto"",""en"")"),"The bottle / handle")</f>
        <v>The bottle / handle</v>
      </c>
    </row>
    <row r="698" spans="1:9" ht="13" x14ac:dyDescent="0.15">
      <c r="A698" s="2" t="s">
        <v>681</v>
      </c>
      <c r="B698" s="2" t="s">
        <v>719</v>
      </c>
      <c r="C698" s="2" t="s">
        <v>726</v>
      </c>
      <c r="D698" s="3">
        <v>1404943</v>
      </c>
      <c r="E698" s="3">
        <v>114934</v>
      </c>
      <c r="F698" s="3">
        <v>143</v>
      </c>
      <c r="G698" s="3" t="str">
        <f ca="1">IFERROR(__xludf.DUMMYFUNCTION("GOOGLETRANSLATE(A698,""auto"",""en"")"),"Baby Products")</f>
        <v>Baby Products</v>
      </c>
      <c r="H698" s="3" t="str">
        <f ca="1">IFERROR(__xludf.DUMMYFUNCTION("GOOGLETRANSLATE(B698,""auto"",""en"")"),"Bottle / bottle related")</f>
        <v>Bottle / bottle related</v>
      </c>
      <c r="I698" s="3" t="str">
        <f ca="1">IFERROR(__xludf.DUMMYFUNCTION("GOOGLETRANSLATE(C698,""auto"",""en"")"),"Bottle tongs")</f>
        <v>Bottle tongs</v>
      </c>
    </row>
    <row r="699" spans="1:9" ht="13" x14ac:dyDescent="0.15">
      <c r="A699" s="2" t="s">
        <v>681</v>
      </c>
      <c r="B699" s="2" t="s">
        <v>719</v>
      </c>
      <c r="C699" s="2" t="s">
        <v>727</v>
      </c>
      <c r="D699" s="3">
        <v>1404943</v>
      </c>
      <c r="E699" s="3">
        <v>114934</v>
      </c>
      <c r="F699" s="3">
        <v>121</v>
      </c>
      <c r="G699" s="3" t="str">
        <f ca="1">IFERROR(__xludf.DUMMYFUNCTION("GOOGLETRANSLATE(A699,""auto"",""en"")"),"Baby Products")</f>
        <v>Baby Products</v>
      </c>
      <c r="H699" s="3" t="str">
        <f ca="1">IFERROR(__xludf.DUMMYFUNCTION("GOOGLETRANSLATE(B699,""auto"",""en"")"),"Bottle / bottle related")</f>
        <v>Bottle / bottle related</v>
      </c>
      <c r="I699" s="3" t="str">
        <f ca="1">IFERROR(__xludf.DUMMYFUNCTION("GOOGLETRANSLATE(C699,""auto"",""en"")"),"Pacifier box")</f>
        <v>Pacifier box</v>
      </c>
    </row>
    <row r="700" spans="1:9" ht="13" x14ac:dyDescent="0.15">
      <c r="A700" s="2" t="s">
        <v>681</v>
      </c>
      <c r="B700" s="2" t="s">
        <v>719</v>
      </c>
      <c r="C700" s="2" t="s">
        <v>728</v>
      </c>
      <c r="D700" s="3">
        <v>1404943</v>
      </c>
      <c r="E700" s="3">
        <v>114934</v>
      </c>
      <c r="F700" s="3">
        <v>72</v>
      </c>
      <c r="G700" s="3" t="str">
        <f ca="1">IFERROR(__xludf.DUMMYFUNCTION("GOOGLETRANSLATE(A700,""auto"",""en"")"),"Baby Products")</f>
        <v>Baby Products</v>
      </c>
      <c r="H700" s="3" t="str">
        <f ca="1">IFERROR(__xludf.DUMMYFUNCTION("GOOGLETRANSLATE(B700,""auto"",""en"")"),"Bottle / bottle related")</f>
        <v>Bottle / bottle related</v>
      </c>
      <c r="I700" s="3" t="str">
        <f ca="1">IFERROR(__xludf.DUMMYFUNCTION("GOOGLETRANSLATE(C700,""auto"",""en"")"),"Bottle drying rack")</f>
        <v>Bottle drying rack</v>
      </c>
    </row>
    <row r="701" spans="1:9" ht="13" x14ac:dyDescent="0.15">
      <c r="A701" s="2" t="s">
        <v>681</v>
      </c>
      <c r="B701" s="2" t="s">
        <v>719</v>
      </c>
      <c r="C701" s="2" t="s">
        <v>729</v>
      </c>
      <c r="D701" s="3">
        <v>1404943</v>
      </c>
      <c r="E701" s="3">
        <v>114934</v>
      </c>
      <c r="F701" s="3">
        <v>26</v>
      </c>
      <c r="G701" s="3" t="str">
        <f ca="1">IFERROR(__xludf.DUMMYFUNCTION("GOOGLETRANSLATE(A701,""auto"",""en"")"),"Baby Products")</f>
        <v>Baby Products</v>
      </c>
      <c r="H701" s="3" t="str">
        <f ca="1">IFERROR(__xludf.DUMMYFUNCTION("GOOGLETRANSLATE(B701,""auto"",""en"")"),"Bottle / bottle related")</f>
        <v>Bottle / bottle related</v>
      </c>
      <c r="I701" s="3" t="str">
        <f ca="1">IFERROR(__xludf.DUMMYFUNCTION("GOOGLETRANSLATE(C701,""auto"",""en"")"),"Bottle thermometer")</f>
        <v>Bottle thermometer</v>
      </c>
    </row>
    <row r="702" spans="1:9" ht="13" x14ac:dyDescent="0.15">
      <c r="A702" s="2" t="s">
        <v>681</v>
      </c>
      <c r="B702" s="2" t="s">
        <v>719</v>
      </c>
      <c r="C702" s="2" t="s">
        <v>730</v>
      </c>
      <c r="D702" s="3">
        <v>1404943</v>
      </c>
      <c r="E702" s="3">
        <v>114934</v>
      </c>
      <c r="F702" s="3">
        <v>9</v>
      </c>
      <c r="G702" s="3" t="str">
        <f ca="1">IFERROR(__xludf.DUMMYFUNCTION("GOOGLETRANSLATE(A702,""auto"",""en"")"),"Baby Products")</f>
        <v>Baby Products</v>
      </c>
      <c r="H702" s="3" t="str">
        <f ca="1">IFERROR(__xludf.DUMMYFUNCTION("GOOGLETRANSLATE(B702,""auto"",""en"")"),"Bottle / bottle related")</f>
        <v>Bottle / bottle related</v>
      </c>
      <c r="I702" s="3" t="str">
        <f ca="1">IFERROR(__xludf.DUMMYFUNCTION("GOOGLETRANSLATE(C702,""auto"",""en"")"),"cooler box")</f>
        <v>cooler box</v>
      </c>
    </row>
    <row r="703" spans="1:9" ht="13" x14ac:dyDescent="0.15">
      <c r="A703" s="2" t="s">
        <v>681</v>
      </c>
      <c r="B703" s="2" t="s">
        <v>719</v>
      </c>
      <c r="C703" s="2" t="s">
        <v>731</v>
      </c>
      <c r="D703" s="3">
        <v>1404943</v>
      </c>
      <c r="E703" s="3">
        <v>114934</v>
      </c>
      <c r="F703" s="3">
        <v>2</v>
      </c>
      <c r="G703" s="3" t="str">
        <f ca="1">IFERROR(__xludf.DUMMYFUNCTION("GOOGLETRANSLATE(A703,""auto"",""en"")"),"Baby Products")</f>
        <v>Baby Products</v>
      </c>
      <c r="H703" s="3" t="str">
        <f ca="1">IFERROR(__xludf.DUMMYFUNCTION("GOOGLETRANSLATE(B703,""auto"",""en"")"),"Bottle / bottle related")</f>
        <v>Bottle / bottle related</v>
      </c>
      <c r="I703" s="3" t="str">
        <f ca="1">IFERROR(__xludf.DUMMYFUNCTION("GOOGLETRANSLATE(C703,""auto"",""en"")"),"Nipple hole punch")</f>
        <v>Nipple hole punch</v>
      </c>
    </row>
    <row r="704" spans="1:9" ht="13" x14ac:dyDescent="0.15">
      <c r="A704" s="2" t="s">
        <v>681</v>
      </c>
      <c r="B704" s="2" t="s">
        <v>732</v>
      </c>
      <c r="C704" s="2" t="s">
        <v>135</v>
      </c>
      <c r="D704" s="3">
        <v>1404943</v>
      </c>
      <c r="E704" s="3">
        <v>92765</v>
      </c>
      <c r="F704" s="3">
        <v>85104</v>
      </c>
      <c r="G704" s="3" t="str">
        <f ca="1">IFERROR(__xludf.DUMMYFUNCTION("GOOGLETRANSLATE(A704,""auto"",""en"")"),"Baby Products")</f>
        <v>Baby Products</v>
      </c>
      <c r="H704" s="3" t="str">
        <f ca="1">IFERROR(__xludf.DUMMYFUNCTION("GOOGLETRANSLATE(B704,""auto"",""en"")"),"Cleaning liquid / clothing care")</f>
        <v>Cleaning liquid / clothing care</v>
      </c>
      <c r="I704" s="3" t="str">
        <f ca="1">IFERROR(__xludf.DUMMYFUNCTION("GOOGLETRANSLATE(C704,""auto"",""en"")"),"Laundry detergent")</f>
        <v>Laundry detergent</v>
      </c>
    </row>
    <row r="705" spans="1:9" ht="13" x14ac:dyDescent="0.15">
      <c r="A705" s="2" t="s">
        <v>681</v>
      </c>
      <c r="B705" s="2" t="s">
        <v>732</v>
      </c>
      <c r="C705" s="2" t="s">
        <v>733</v>
      </c>
      <c r="D705" s="3">
        <v>1404943</v>
      </c>
      <c r="E705" s="3">
        <v>92765</v>
      </c>
      <c r="F705" s="3">
        <v>7515</v>
      </c>
      <c r="G705" s="3" t="str">
        <f ca="1">IFERROR(__xludf.DUMMYFUNCTION("GOOGLETRANSLATE(A705,""auto"",""en"")"),"Baby Products")</f>
        <v>Baby Products</v>
      </c>
      <c r="H705" s="3" t="str">
        <f ca="1">IFERROR(__xludf.DUMMYFUNCTION("GOOGLETRANSLATE(B705,""auto"",""en"")"),"Cleaning liquid / clothing care")</f>
        <v>Cleaning liquid / clothing care</v>
      </c>
      <c r="I705" s="3" t="str">
        <f ca="1">IFERROR(__xludf.DUMMYFUNCTION("GOOGLETRANSLATE(C705,""auto"",""en"")"),"Fruit and vegetable cleaning liquid bottle")</f>
        <v>Fruit and vegetable cleaning liquid bottle</v>
      </c>
    </row>
    <row r="706" spans="1:9" ht="13" x14ac:dyDescent="0.15">
      <c r="A706" s="2" t="s">
        <v>681</v>
      </c>
      <c r="B706" s="2" t="s">
        <v>732</v>
      </c>
      <c r="C706" s="2" t="s">
        <v>732</v>
      </c>
      <c r="D706" s="3">
        <v>1404943</v>
      </c>
      <c r="E706" s="3">
        <v>92765</v>
      </c>
      <c r="F706" s="3">
        <v>78</v>
      </c>
      <c r="G706" s="3" t="str">
        <f ca="1">IFERROR(__xludf.DUMMYFUNCTION("GOOGLETRANSLATE(A706,""auto"",""en"")"),"Baby Products")</f>
        <v>Baby Products</v>
      </c>
      <c r="H706" s="3" t="str">
        <f ca="1">IFERROR(__xludf.DUMMYFUNCTION("GOOGLETRANSLATE(B706,""auto"",""en"")"),"Cleaning liquid / clothing care")</f>
        <v>Cleaning liquid / clothing care</v>
      </c>
      <c r="I706" s="3" t="str">
        <f ca="1">IFERROR(__xludf.DUMMYFUNCTION("GOOGLETRANSLATE(C706,""auto"",""en"")"),"Cleaning liquid / clothing care")</f>
        <v>Cleaning liquid / clothing care</v>
      </c>
    </row>
    <row r="707" spans="1:9" ht="13" x14ac:dyDescent="0.15">
      <c r="A707" s="2" t="s">
        <v>681</v>
      </c>
      <c r="B707" s="2" t="s">
        <v>732</v>
      </c>
      <c r="C707" s="2" t="s">
        <v>734</v>
      </c>
      <c r="D707" s="3">
        <v>1404943</v>
      </c>
      <c r="E707" s="3">
        <v>92765</v>
      </c>
      <c r="F707" s="3">
        <v>42</v>
      </c>
      <c r="G707" s="3" t="str">
        <f ca="1">IFERROR(__xludf.DUMMYFUNCTION("GOOGLETRANSLATE(A707,""auto"",""en"")"),"Baby Products")</f>
        <v>Baby Products</v>
      </c>
      <c r="H707" s="3" t="str">
        <f ca="1">IFERROR(__xludf.DUMMYFUNCTION("GOOGLETRANSLATE(B707,""auto"",""en"")"),"Cleaning liquid / clothing care")</f>
        <v>Cleaning liquid / clothing care</v>
      </c>
      <c r="I707" s="3" t="str">
        <f ca="1">IFERROR(__xludf.DUMMYFUNCTION("GOOGLETRANSLATE(C707,""auto"",""en"")"),"Softener")</f>
        <v>Softener</v>
      </c>
    </row>
    <row r="708" spans="1:9" ht="13" x14ac:dyDescent="0.15">
      <c r="A708" s="2" t="s">
        <v>681</v>
      </c>
      <c r="B708" s="2" t="s">
        <v>732</v>
      </c>
      <c r="C708" s="2" t="s">
        <v>137</v>
      </c>
      <c r="D708" s="3">
        <v>1404943</v>
      </c>
      <c r="E708" s="3">
        <v>92765</v>
      </c>
      <c r="F708" s="3">
        <v>26</v>
      </c>
      <c r="G708" s="3" t="str">
        <f ca="1">IFERROR(__xludf.DUMMYFUNCTION("GOOGLETRANSLATE(A708,""auto"",""en"")"),"Baby Products")</f>
        <v>Baby Products</v>
      </c>
      <c r="H708" s="3" t="str">
        <f ca="1">IFERROR(__xludf.DUMMYFUNCTION("GOOGLETRANSLATE(B708,""auto"",""en"")"),"Cleaning liquid / clothing care")</f>
        <v>Cleaning liquid / clothing care</v>
      </c>
      <c r="I708" s="3" t="str">
        <f ca="1">IFERROR(__xludf.DUMMYFUNCTION("GOOGLETRANSLATE(C708,""auto"",""en"")"),"washing powder")</f>
        <v>washing powder</v>
      </c>
    </row>
    <row r="709" spans="1:9" ht="13" x14ac:dyDescent="0.15">
      <c r="A709" s="2" t="s">
        <v>681</v>
      </c>
      <c r="B709" s="2" t="s">
        <v>735</v>
      </c>
      <c r="C709" s="2" t="s">
        <v>736</v>
      </c>
      <c r="D709" s="3">
        <v>1404943</v>
      </c>
      <c r="E709" s="3">
        <v>86709</v>
      </c>
      <c r="F709" s="3">
        <v>34674</v>
      </c>
      <c r="G709" s="3" t="str">
        <f ca="1">IFERROR(__xludf.DUMMYFUNCTION("GOOGLETRANSLATE(A709,""auto"",""en"")"),"Baby Products")</f>
        <v>Baby Products</v>
      </c>
      <c r="H709" s="3" t="str">
        <f ca="1">IFERROR(__xludf.DUMMYFUNCTION("GOOGLETRANSLATE(B709,""auto"",""en"")"),"Sleeping bag / mat / pillow / bedding")</f>
        <v>Sleeping bag / mat / pillow / bedding</v>
      </c>
      <c r="I709" s="3" t="str">
        <f ca="1">IFERROR(__xludf.DUMMYFUNCTION("GOOGLETRANSLATE(C709,""auto"",""en"")"),"Mat")</f>
        <v>Mat</v>
      </c>
    </row>
    <row r="710" spans="1:9" ht="13" x14ac:dyDescent="0.15">
      <c r="A710" s="2" t="s">
        <v>681</v>
      </c>
      <c r="B710" s="2" t="s">
        <v>735</v>
      </c>
      <c r="C710" s="2" t="s">
        <v>737</v>
      </c>
      <c r="D710" s="3">
        <v>1404943</v>
      </c>
      <c r="E710" s="3">
        <v>86709</v>
      </c>
      <c r="F710" s="3">
        <v>19735</v>
      </c>
      <c r="G710" s="3" t="str">
        <f ca="1">IFERROR(__xludf.DUMMYFUNCTION("GOOGLETRANSLATE(A710,""auto"",""en"")"),"Baby Products")</f>
        <v>Baby Products</v>
      </c>
      <c r="H710" s="3" t="str">
        <f ca="1">IFERROR(__xludf.DUMMYFUNCTION("GOOGLETRANSLATE(B710,""auto"",""en"")"),"Sleeping bag / mat / pillow / bedding")</f>
        <v>Sleeping bag / mat / pillow / bedding</v>
      </c>
      <c r="I710" s="3" t="str">
        <f ca="1">IFERROR(__xludf.DUMMYFUNCTION("GOOGLETRANSLATE(C710,""auto"",""en"")"),"Sleeping bag / anti Tipi")</f>
        <v>Sleeping bag / anti Tipi</v>
      </c>
    </row>
    <row r="711" spans="1:9" ht="13" x14ac:dyDescent="0.15">
      <c r="A711" s="2" t="s">
        <v>681</v>
      </c>
      <c r="B711" s="2" t="s">
        <v>735</v>
      </c>
      <c r="C711" s="2" t="s">
        <v>738</v>
      </c>
      <c r="D711" s="3">
        <v>1404943</v>
      </c>
      <c r="E711" s="3">
        <v>86709</v>
      </c>
      <c r="F711" s="3">
        <v>12287</v>
      </c>
      <c r="G711" s="3" t="str">
        <f ca="1">IFERROR(__xludf.DUMMYFUNCTION("GOOGLETRANSLATE(A711,""auto"",""en"")"),"Baby Products")</f>
        <v>Baby Products</v>
      </c>
      <c r="H711" s="3" t="str">
        <f ca="1">IFERROR(__xludf.DUMMYFUNCTION("GOOGLETRANSLATE(B711,""auto"",""en"")"),"Sleeping bag / mat / pillow / bedding")</f>
        <v>Sleeping bag / mat / pillow / bedding</v>
      </c>
      <c r="I711" s="3" t="str">
        <f ca="1">IFERROR(__xludf.DUMMYFUNCTION("GOOGLETRANSLATE(C711,""auto"",""en"")"),"Pillow / Pillow")</f>
        <v>Pillow / Pillow</v>
      </c>
    </row>
    <row r="712" spans="1:9" ht="13" x14ac:dyDescent="0.15">
      <c r="A712" s="2" t="s">
        <v>681</v>
      </c>
      <c r="B712" s="2" t="s">
        <v>735</v>
      </c>
      <c r="C712" s="2" t="s">
        <v>739</v>
      </c>
      <c r="D712" s="3">
        <v>1404943</v>
      </c>
      <c r="E712" s="3">
        <v>86709</v>
      </c>
      <c r="F712" s="3">
        <v>5445</v>
      </c>
      <c r="G712" s="3" t="str">
        <f ca="1">IFERROR(__xludf.DUMMYFUNCTION("GOOGLETRANSLATE(A712,""auto"",""en"")"),"Baby Products")</f>
        <v>Baby Products</v>
      </c>
      <c r="H712" s="3" t="str">
        <f ca="1">IFERROR(__xludf.DUMMYFUNCTION("GOOGLETRANSLATE(B712,""auto"",""en"")"),"Sleeping bag / mat / pillow / bedding")</f>
        <v>Sleeping bag / mat / pillow / bedding</v>
      </c>
      <c r="I712" s="3" t="str">
        <f ca="1">IFERROR(__xludf.DUMMYFUNCTION("GOOGLETRANSLATE(C712,""auto"",""en"")"),"mosquito net")</f>
        <v>mosquito net</v>
      </c>
    </row>
    <row r="713" spans="1:9" ht="13" x14ac:dyDescent="0.15">
      <c r="A713" s="2" t="s">
        <v>681</v>
      </c>
      <c r="B713" s="2" t="s">
        <v>735</v>
      </c>
      <c r="C713" s="2" t="s">
        <v>740</v>
      </c>
      <c r="D713" s="3">
        <v>1404943</v>
      </c>
      <c r="E713" s="3">
        <v>86709</v>
      </c>
      <c r="F713" s="3">
        <v>5405</v>
      </c>
      <c r="G713" s="3" t="str">
        <f ca="1">IFERROR(__xludf.DUMMYFUNCTION("GOOGLETRANSLATE(A713,""auto"",""en"")"),"Baby Products")</f>
        <v>Baby Products</v>
      </c>
      <c r="H713" s="3" t="str">
        <f ca="1">IFERROR(__xludf.DUMMYFUNCTION("GOOGLETRANSLATE(B713,""auto"",""en"")"),"Sleeping bag / mat / pillow / bedding")</f>
        <v>Sleeping bag / mat / pillow / bedding</v>
      </c>
      <c r="I713" s="3" t="str">
        <f ca="1">IFERROR(__xludf.DUMMYFUNCTION("GOOGLETRANSLATE(C713,""auto"",""en"")"),"Hold quilt / blankets")</f>
        <v>Hold quilt / blankets</v>
      </c>
    </row>
    <row r="714" spans="1:9" ht="13" x14ac:dyDescent="0.15">
      <c r="A714" s="2" t="s">
        <v>681</v>
      </c>
      <c r="B714" s="2" t="s">
        <v>735</v>
      </c>
      <c r="C714" s="2" t="s">
        <v>741</v>
      </c>
      <c r="D714" s="3">
        <v>1404943</v>
      </c>
      <c r="E714" s="3">
        <v>86709</v>
      </c>
      <c r="F714" s="3">
        <v>4031</v>
      </c>
      <c r="G714" s="3" t="str">
        <f ca="1">IFERROR(__xludf.DUMMYFUNCTION("GOOGLETRANSLATE(A714,""auto"",""en"")"),"Baby Products")</f>
        <v>Baby Products</v>
      </c>
      <c r="H714" s="3" t="str">
        <f ca="1">IFERROR(__xludf.DUMMYFUNCTION("GOOGLETRANSLATE(B714,""auto"",""en"")"),"Sleeping bag / mat / pillow / bedding")</f>
        <v>Sleeping bag / mat / pillow / bedding</v>
      </c>
      <c r="I714" s="3" t="str">
        <f ca="1">IFERROR(__xludf.DUMMYFUNCTION("GOOGLETRANSLATE(C714,""auto"",""en"")"),"Pillow / pillow / pillow / pillow covers")</f>
        <v>Pillow / pillow / pillow / pillow covers</v>
      </c>
    </row>
    <row r="715" spans="1:9" ht="13" x14ac:dyDescent="0.15">
      <c r="A715" s="2" t="s">
        <v>681</v>
      </c>
      <c r="B715" s="2" t="s">
        <v>735</v>
      </c>
      <c r="C715" s="2" t="s">
        <v>92</v>
      </c>
      <c r="D715" s="3">
        <v>1404943</v>
      </c>
      <c r="E715" s="3">
        <v>86709</v>
      </c>
      <c r="F715" s="3">
        <v>2722</v>
      </c>
      <c r="G715" s="3" t="str">
        <f ca="1">IFERROR(__xludf.DUMMYFUNCTION("GOOGLETRANSLATE(A715,""auto"",""en"")"),"Baby Products")</f>
        <v>Baby Products</v>
      </c>
      <c r="H715" s="3" t="str">
        <f ca="1">IFERROR(__xludf.DUMMYFUNCTION("GOOGLETRANSLATE(B715,""auto"",""en"")"),"Sleeping bag / mat / pillow / bedding")</f>
        <v>Sleeping bag / mat / pillow / bedding</v>
      </c>
      <c r="I715" s="3" t="str">
        <f ca="1">IFERROR(__xludf.DUMMYFUNCTION("GOOGLETRANSLATE(C715,""auto"",""en"")"),"other")</f>
        <v>other</v>
      </c>
    </row>
    <row r="716" spans="1:9" ht="13" x14ac:dyDescent="0.15">
      <c r="A716" s="2" t="s">
        <v>681</v>
      </c>
      <c r="B716" s="2" t="s">
        <v>735</v>
      </c>
      <c r="C716" s="2" t="s">
        <v>742</v>
      </c>
      <c r="D716" s="3">
        <v>1404943</v>
      </c>
      <c r="E716" s="3">
        <v>86709</v>
      </c>
      <c r="F716" s="3">
        <v>1803</v>
      </c>
      <c r="G716" s="3" t="str">
        <f ca="1">IFERROR(__xludf.DUMMYFUNCTION("GOOGLETRANSLATE(A716,""auto"",""en"")"),"Baby Products")</f>
        <v>Baby Products</v>
      </c>
      <c r="H716" s="3" t="str">
        <f ca="1">IFERROR(__xludf.DUMMYFUNCTION("GOOGLETRANSLATE(B716,""auto"",""en"")"),"Sleeping bag / mat / pillow / bedding")</f>
        <v>Sleeping bag / mat / pillow / bedding</v>
      </c>
      <c r="I716" s="3" t="str">
        <f ca="1">IFERROR(__xludf.DUMMYFUNCTION("GOOGLETRANSLATE(C716,""auto"",""en"")"),"Quilt / quilt")</f>
        <v>Quilt / quilt</v>
      </c>
    </row>
    <row r="717" spans="1:9" ht="13" x14ac:dyDescent="0.15">
      <c r="A717" s="2" t="s">
        <v>681</v>
      </c>
      <c r="B717" s="2" t="s">
        <v>735</v>
      </c>
      <c r="C717" s="2" t="s">
        <v>743</v>
      </c>
      <c r="D717" s="3">
        <v>1404943</v>
      </c>
      <c r="E717" s="3">
        <v>86709</v>
      </c>
      <c r="F717" s="3">
        <v>304</v>
      </c>
      <c r="G717" s="3" t="str">
        <f ca="1">IFERROR(__xludf.DUMMYFUNCTION("GOOGLETRANSLATE(A717,""auto"",""en"")"),"Baby Products")</f>
        <v>Baby Products</v>
      </c>
      <c r="H717" s="3" t="str">
        <f ca="1">IFERROR(__xludf.DUMMYFUNCTION("GOOGLETRANSLATE(B717,""auto"",""en"")"),"Sleeping bag / mat / pillow / bedding")</f>
        <v>Sleeping bag / mat / pillow / bedding</v>
      </c>
      <c r="I717" s="3" t="str">
        <f ca="1">IFERROR(__xludf.DUMMYFUNCTION("GOOGLETRANSLATE(C717,""auto"",""en"")"),"Bed Wai / bed by")</f>
        <v>Bed Wai / bed by</v>
      </c>
    </row>
    <row r="718" spans="1:9" ht="13" x14ac:dyDescent="0.15">
      <c r="A718" s="2" t="s">
        <v>681</v>
      </c>
      <c r="B718" s="2" t="s">
        <v>735</v>
      </c>
      <c r="C718" s="2" t="s">
        <v>744</v>
      </c>
      <c r="D718" s="3">
        <v>1404943</v>
      </c>
      <c r="E718" s="3">
        <v>86709</v>
      </c>
      <c r="F718" s="3">
        <v>182</v>
      </c>
      <c r="G718" s="3" t="str">
        <f ca="1">IFERROR(__xludf.DUMMYFUNCTION("GOOGLETRANSLATE(A718,""auto"",""en"")"),"Baby Products")</f>
        <v>Baby Products</v>
      </c>
      <c r="H718" s="3" t="str">
        <f ca="1">IFERROR(__xludf.DUMMYFUNCTION("GOOGLETRANSLATE(B718,""auto"",""en"")"),"Sleeping bag / mat / pillow / bedding")</f>
        <v>Sleeping bag / mat / pillow / bedding</v>
      </c>
      <c r="I718" s="3" t="str">
        <f ca="1">IFERROR(__xludf.DUMMYFUNCTION("GOOGLETRANSLATE(C718,""auto"",""en"")"),"Bedding package")</f>
        <v>Bedding package</v>
      </c>
    </row>
    <row r="719" spans="1:9" ht="13" x14ac:dyDescent="0.15">
      <c r="A719" s="2" t="s">
        <v>681</v>
      </c>
      <c r="B719" s="2" t="s">
        <v>735</v>
      </c>
      <c r="C719" s="2" t="s">
        <v>745</v>
      </c>
      <c r="D719" s="3">
        <v>1404943</v>
      </c>
      <c r="E719" s="3">
        <v>86709</v>
      </c>
      <c r="F719" s="3">
        <v>74</v>
      </c>
      <c r="G719" s="3" t="str">
        <f ca="1">IFERROR(__xludf.DUMMYFUNCTION("GOOGLETRANSLATE(A719,""auto"",""en"")"),"Baby Products")</f>
        <v>Baby Products</v>
      </c>
      <c r="H719" s="3" t="str">
        <f ca="1">IFERROR(__xludf.DUMMYFUNCTION("GOOGLETRANSLATE(B719,""auto"",""en"")"),"Sleeping bag / mat / pillow / bedding")</f>
        <v>Sleeping bag / mat / pillow / bedding</v>
      </c>
      <c r="I719" s="3" t="str">
        <f ca="1">IFERROR(__xludf.DUMMYFUNCTION("GOOGLETRANSLATE(C719,""auto"",""en"")"),"Sheet")</f>
        <v>Sheet</v>
      </c>
    </row>
    <row r="720" spans="1:9" ht="13" x14ac:dyDescent="0.15">
      <c r="A720" s="2" t="s">
        <v>681</v>
      </c>
      <c r="B720" s="2" t="s">
        <v>735</v>
      </c>
      <c r="C720" s="2" t="s">
        <v>746</v>
      </c>
      <c r="D720" s="3">
        <v>1404943</v>
      </c>
      <c r="E720" s="3">
        <v>86709</v>
      </c>
      <c r="F720" s="3">
        <v>46</v>
      </c>
      <c r="G720" s="3" t="str">
        <f ca="1">IFERROR(__xludf.DUMMYFUNCTION("GOOGLETRANSLATE(A720,""auto"",""en"")"),"Baby Products")</f>
        <v>Baby Products</v>
      </c>
      <c r="H720" s="3" t="str">
        <f ca="1">IFERROR(__xludf.DUMMYFUNCTION("GOOGLETRANSLATE(B720,""auto"",""en"")"),"Sleeping bag / mat / pillow / bedding")</f>
        <v>Sleeping bag / mat / pillow / bedding</v>
      </c>
      <c r="I720" s="3" t="str">
        <f ca="1">IFERROR(__xludf.DUMMYFUNCTION("GOOGLETRANSLATE(C720,""auto"",""en"")"),"Cushion / cushion")</f>
        <v>Cushion / cushion</v>
      </c>
    </row>
    <row r="721" spans="1:9" ht="13" x14ac:dyDescent="0.15">
      <c r="A721" s="2" t="s">
        <v>681</v>
      </c>
      <c r="B721" s="2" t="s">
        <v>735</v>
      </c>
      <c r="C721" s="2" t="s">
        <v>747</v>
      </c>
      <c r="D721" s="3">
        <v>1404943</v>
      </c>
      <c r="E721" s="3">
        <v>86709</v>
      </c>
      <c r="F721" s="3">
        <v>29</v>
      </c>
      <c r="G721" s="3" t="str">
        <f ca="1">IFERROR(__xludf.DUMMYFUNCTION("GOOGLETRANSLATE(A721,""auto"",""en"")"),"Baby Products")</f>
        <v>Baby Products</v>
      </c>
      <c r="H721" s="3" t="str">
        <f ca="1">IFERROR(__xludf.DUMMYFUNCTION("GOOGLETRANSLATE(B721,""auto"",""en"")"),"Sleeping bag / mat / pillow / bedding")</f>
        <v>Sleeping bag / mat / pillow / bedding</v>
      </c>
      <c r="I721" s="3" t="str">
        <f ca="1">IFERROR(__xludf.DUMMYFUNCTION("GOOGLETRANSLATE(C721,""auto"",""en"")"),"mattress")</f>
        <v>mattress</v>
      </c>
    </row>
    <row r="722" spans="1:9" ht="13" x14ac:dyDescent="0.15">
      <c r="A722" s="2" t="s">
        <v>681</v>
      </c>
      <c r="B722" s="2" t="s">
        <v>735</v>
      </c>
      <c r="C722" s="2" t="s">
        <v>748</v>
      </c>
      <c r="D722" s="3">
        <v>1404943</v>
      </c>
      <c r="E722" s="3">
        <v>86709</v>
      </c>
      <c r="F722" s="3">
        <v>5</v>
      </c>
      <c r="G722" s="3" t="str">
        <f ca="1">IFERROR(__xludf.DUMMYFUNCTION("GOOGLETRANSLATE(A722,""auto"",""en"")"),"Baby Products")</f>
        <v>Baby Products</v>
      </c>
      <c r="H722" s="3" t="str">
        <f ca="1">IFERROR(__xludf.DUMMYFUNCTION("GOOGLETRANSLATE(B722,""auto"",""en"")"),"Sleeping bag / mat / pillow / bedding")</f>
        <v>Sleeping bag / mat / pillow / bedding</v>
      </c>
      <c r="I722" s="3" t="str">
        <f ca="1">IFERROR(__xludf.DUMMYFUNCTION("GOOGLETRANSLATE(C722,""auto"",""en"")"),"Diaper bag")</f>
        <v>Diaper bag</v>
      </c>
    </row>
    <row r="723" spans="1:9" ht="13" x14ac:dyDescent="0.15">
      <c r="A723" s="2" t="s">
        <v>681</v>
      </c>
      <c r="B723" s="2" t="s">
        <v>749</v>
      </c>
      <c r="C723" s="2" t="s">
        <v>750</v>
      </c>
      <c r="D723" s="3">
        <v>1404943</v>
      </c>
      <c r="E723" s="3">
        <v>70782</v>
      </c>
      <c r="F723" s="3">
        <v>14772</v>
      </c>
      <c r="G723" s="3" t="str">
        <f ca="1">IFERROR(__xludf.DUMMYFUNCTION("GOOGLETRANSLATE(A723,""auto"",""en"")"),"Baby Products")</f>
        <v>Baby Products</v>
      </c>
      <c r="H723" s="3" t="str">
        <f ca="1">IFERROR(__xludf.DUMMYFUNCTION("GOOGLETRANSLATE(B723,""auto"",""en"")"),"Daily care")</f>
        <v>Daily care</v>
      </c>
      <c r="I723" s="3" t="str">
        <f ca="1">IFERROR(__xludf.DUMMYFUNCTION("GOOGLETRANSLATE(C723,""auto"",""en"")"),"Ershao")</f>
        <v>Ershao</v>
      </c>
    </row>
    <row r="724" spans="1:9" ht="13" x14ac:dyDescent="0.15">
      <c r="A724" s="2" t="s">
        <v>681</v>
      </c>
      <c r="B724" s="2" t="s">
        <v>749</v>
      </c>
      <c r="C724" s="2" t="s">
        <v>751</v>
      </c>
      <c r="D724" s="3">
        <v>1404943</v>
      </c>
      <c r="E724" s="3">
        <v>70782</v>
      </c>
      <c r="F724" s="3">
        <v>11624</v>
      </c>
      <c r="G724" s="3" t="str">
        <f ca="1">IFERROR(__xludf.DUMMYFUNCTION("GOOGLETRANSLATE(A724,""auto"",""en"")"),"Baby Products")</f>
        <v>Baby Products</v>
      </c>
      <c r="H724" s="3" t="str">
        <f ca="1">IFERROR(__xludf.DUMMYFUNCTION("GOOGLETRANSLATE(B724,""auto"",""en"")"),"Daily care")</f>
        <v>Daily care</v>
      </c>
      <c r="I724" s="3" t="str">
        <f ca="1">IFERROR(__xludf.DUMMYFUNCTION("GOOGLETRANSLATE(C724,""auto"",""en"")"),"Hair clipper")</f>
        <v>Hair clipper</v>
      </c>
    </row>
    <row r="725" spans="1:9" ht="13" x14ac:dyDescent="0.15">
      <c r="A725" s="2" t="s">
        <v>681</v>
      </c>
      <c r="B725" s="2" t="s">
        <v>749</v>
      </c>
      <c r="C725" s="2" t="s">
        <v>752</v>
      </c>
      <c r="D725" s="3">
        <v>1404943</v>
      </c>
      <c r="E725" s="3">
        <v>70782</v>
      </c>
      <c r="F725" s="3">
        <v>9809</v>
      </c>
      <c r="G725" s="3" t="str">
        <f ca="1">IFERROR(__xludf.DUMMYFUNCTION("GOOGLETRANSLATE(A725,""auto"",""en"")"),"Baby Products")</f>
        <v>Baby Products</v>
      </c>
      <c r="H725" s="3" t="str">
        <f ca="1">IFERROR(__xludf.DUMMYFUNCTION("GOOGLETRANSLATE(B725,""auto"",""en"")"),"Daily care")</f>
        <v>Daily care</v>
      </c>
      <c r="I725" s="3" t="str">
        <f ca="1">IFERROR(__xludf.DUMMYFUNCTION("GOOGLETRANSLATE(C725,""auto"",""en"")"),"Toilet")</f>
        <v>Toilet</v>
      </c>
    </row>
    <row r="726" spans="1:9" ht="13" x14ac:dyDescent="0.15">
      <c r="A726" s="2" t="s">
        <v>681</v>
      </c>
      <c r="B726" s="2" t="s">
        <v>749</v>
      </c>
      <c r="C726" s="2" t="s">
        <v>753</v>
      </c>
      <c r="D726" s="3">
        <v>1404943</v>
      </c>
      <c r="E726" s="3">
        <v>70782</v>
      </c>
      <c r="F726" s="3">
        <v>9138</v>
      </c>
      <c r="G726" s="3" t="str">
        <f ca="1">IFERROR(__xludf.DUMMYFUNCTION("GOOGLETRANSLATE(A726,""auto"",""en"")"),"Baby Products")</f>
        <v>Baby Products</v>
      </c>
      <c r="H726" s="3" t="str">
        <f ca="1">IFERROR(__xludf.DUMMYFUNCTION("GOOGLETRANSLATE(B726,""auto"",""en"")"),"Daily care")</f>
        <v>Daily care</v>
      </c>
      <c r="I726" s="3" t="str">
        <f ca="1">IFERROR(__xludf.DUMMYFUNCTION("GOOGLETRANSLATE(C726,""auto"",""en"")"),"Other household")</f>
        <v>Other household</v>
      </c>
    </row>
    <row r="727" spans="1:9" ht="13" x14ac:dyDescent="0.15">
      <c r="A727" s="2" t="s">
        <v>681</v>
      </c>
      <c r="B727" s="2" t="s">
        <v>749</v>
      </c>
      <c r="C727" s="2" t="s">
        <v>754</v>
      </c>
      <c r="D727" s="3">
        <v>1404943</v>
      </c>
      <c r="E727" s="3">
        <v>70782</v>
      </c>
      <c r="F727" s="3">
        <v>7623</v>
      </c>
      <c r="G727" s="3" t="str">
        <f ca="1">IFERROR(__xludf.DUMMYFUNCTION("GOOGLETRANSLATE(A727,""auto"",""en"")"),"Baby Products")</f>
        <v>Baby Products</v>
      </c>
      <c r="H727" s="3" t="str">
        <f ca="1">IFERROR(__xludf.DUMMYFUNCTION("GOOGLETRANSLATE(B727,""auto"",""en"")"),"Daily care")</f>
        <v>Daily care</v>
      </c>
      <c r="I727" s="3" t="str">
        <f ca="1">IFERROR(__xludf.DUMMYFUNCTION("GOOGLETRANSLATE(C727,""auto"",""en"")"),"Cotton swab / cotton swab")</f>
        <v>Cotton swab / cotton swab</v>
      </c>
    </row>
    <row r="728" spans="1:9" ht="13" x14ac:dyDescent="0.15">
      <c r="A728" s="2" t="s">
        <v>681</v>
      </c>
      <c r="B728" s="2" t="s">
        <v>749</v>
      </c>
      <c r="C728" s="2" t="s">
        <v>755</v>
      </c>
      <c r="D728" s="3">
        <v>1404943</v>
      </c>
      <c r="E728" s="3">
        <v>70782</v>
      </c>
      <c r="F728" s="3">
        <v>7409</v>
      </c>
      <c r="G728" s="3" t="str">
        <f ca="1">IFERROR(__xludf.DUMMYFUNCTION("GOOGLETRANSLATE(A728,""auto"",""en"")"),"Baby Products")</f>
        <v>Baby Products</v>
      </c>
      <c r="H728" s="3" t="str">
        <f ca="1">IFERROR(__xludf.DUMMYFUNCTION("GOOGLETRANSLATE(B728,""auto"",""en"")"),"Daily care")</f>
        <v>Daily care</v>
      </c>
      <c r="I728" s="3" t="str">
        <f ca="1">IFERROR(__xludf.DUMMYFUNCTION("GOOGLETRANSLATE(C728,""auto"",""en"")"),"Scissors / nail clippers")</f>
        <v>Scissors / nail clippers</v>
      </c>
    </row>
    <row r="729" spans="1:9" ht="13" x14ac:dyDescent="0.15">
      <c r="A729" s="2" t="s">
        <v>681</v>
      </c>
      <c r="B729" s="2" t="s">
        <v>749</v>
      </c>
      <c r="C729" s="2" t="s">
        <v>756</v>
      </c>
      <c r="D729" s="3">
        <v>1404943</v>
      </c>
      <c r="E729" s="3">
        <v>70782</v>
      </c>
      <c r="F729" s="3">
        <v>4212</v>
      </c>
      <c r="G729" s="3" t="str">
        <f ca="1">IFERROR(__xludf.DUMMYFUNCTION("GOOGLETRANSLATE(A729,""auto"",""en"")"),"Baby Products")</f>
        <v>Baby Products</v>
      </c>
      <c r="H729" s="3" t="str">
        <f ca="1">IFERROR(__xludf.DUMMYFUNCTION("GOOGLETRANSLATE(B729,""auto"",""en"")"),"Daily care")</f>
        <v>Daily care</v>
      </c>
      <c r="I729" s="3" t="str">
        <f ca="1">IFERROR(__xludf.DUMMYFUNCTION("GOOGLETRANSLATE(C729,""auto"",""en"")"),"Umbilical paste")</f>
        <v>Umbilical paste</v>
      </c>
    </row>
    <row r="730" spans="1:9" ht="13" x14ac:dyDescent="0.15">
      <c r="A730" s="2" t="s">
        <v>681</v>
      </c>
      <c r="B730" s="2" t="s">
        <v>749</v>
      </c>
      <c r="C730" s="2" t="s">
        <v>757</v>
      </c>
      <c r="D730" s="3">
        <v>1404943</v>
      </c>
      <c r="E730" s="3">
        <v>70782</v>
      </c>
      <c r="F730" s="3">
        <v>3337</v>
      </c>
      <c r="G730" s="3" t="str">
        <f ca="1">IFERROR(__xludf.DUMMYFUNCTION("GOOGLETRANSLATE(A730,""auto"",""en"")"),"Baby Products")</f>
        <v>Baby Products</v>
      </c>
      <c r="H730" s="3" t="str">
        <f ca="1">IFERROR(__xludf.DUMMYFUNCTION("GOOGLETRANSLATE(B730,""auto"",""en"")"),"Daily care")</f>
        <v>Daily care</v>
      </c>
      <c r="I730" s="3" t="str">
        <f ca="1">IFERROR(__xludf.DUMMYFUNCTION("GOOGLETRANSLATE(C730,""auto"",""en"")"),"Thermometer / Gun")</f>
        <v>Thermometer / Gun</v>
      </c>
    </row>
    <row r="731" spans="1:9" ht="13" x14ac:dyDescent="0.15">
      <c r="A731" s="2" t="s">
        <v>681</v>
      </c>
      <c r="B731" s="2" t="s">
        <v>749</v>
      </c>
      <c r="C731" s="2" t="s">
        <v>758</v>
      </c>
      <c r="D731" s="3">
        <v>1404943</v>
      </c>
      <c r="E731" s="3">
        <v>70782</v>
      </c>
      <c r="F731" s="3">
        <v>1799</v>
      </c>
      <c r="G731" s="3" t="str">
        <f ca="1">IFERROR(__xludf.DUMMYFUNCTION("GOOGLETRANSLATE(A731,""auto"",""en"")"),"Baby Products")</f>
        <v>Baby Products</v>
      </c>
      <c r="H731" s="3" t="str">
        <f ca="1">IFERROR(__xludf.DUMMYFUNCTION("GOOGLETRANSLATE(B731,""auto"",""en"")"),"Daily care")</f>
        <v>Daily care</v>
      </c>
      <c r="I731" s="3" t="str">
        <f ca="1">IFERROR(__xludf.DUMMYFUNCTION("GOOGLETRANSLATE(C731,""auto"",""en"")"),"comb")</f>
        <v>comb</v>
      </c>
    </row>
    <row r="732" spans="1:9" ht="13" x14ac:dyDescent="0.15">
      <c r="A732" s="2" t="s">
        <v>681</v>
      </c>
      <c r="B732" s="2" t="s">
        <v>749</v>
      </c>
      <c r="C732" s="2" t="s">
        <v>759</v>
      </c>
      <c r="D732" s="3">
        <v>1404943</v>
      </c>
      <c r="E732" s="3">
        <v>70782</v>
      </c>
      <c r="F732" s="3">
        <v>230</v>
      </c>
      <c r="G732" s="3" t="str">
        <f ca="1">IFERROR(__xludf.DUMMYFUNCTION("GOOGLETRANSLATE(A732,""auto"",""en"")"),"Baby Products")</f>
        <v>Baby Products</v>
      </c>
      <c r="H732" s="3" t="str">
        <f ca="1">IFERROR(__xludf.DUMMYFUNCTION("GOOGLETRANSLATE(B732,""auto"",""en"")"),"Daily care")</f>
        <v>Daily care</v>
      </c>
      <c r="I732" s="3" t="str">
        <f ca="1">IFERROR(__xludf.DUMMYFUNCTION("GOOGLETRANSLATE(C732,""auto"",""en"")"),"Nasal aspirator")</f>
        <v>Nasal aspirator</v>
      </c>
    </row>
    <row r="733" spans="1:9" ht="13" x14ac:dyDescent="0.15">
      <c r="A733" s="2" t="s">
        <v>681</v>
      </c>
      <c r="B733" s="2" t="s">
        <v>749</v>
      </c>
      <c r="C733" s="2" t="s">
        <v>760</v>
      </c>
      <c r="D733" s="3">
        <v>1404943</v>
      </c>
      <c r="E733" s="3">
        <v>70782</v>
      </c>
      <c r="F733" s="3">
        <v>187</v>
      </c>
      <c r="G733" s="3" t="str">
        <f ca="1">IFERROR(__xludf.DUMMYFUNCTION("GOOGLETRANSLATE(A733,""auto"",""en"")"),"Baby Products")</f>
        <v>Baby Products</v>
      </c>
      <c r="H733" s="3" t="str">
        <f ca="1">IFERROR(__xludf.DUMMYFUNCTION("GOOGLETRANSLATE(B733,""auto"",""en"")"),"Daily care")</f>
        <v>Daily care</v>
      </c>
      <c r="I733" s="3" t="str">
        <f ca="1">IFERROR(__xludf.DUMMYFUNCTION("GOOGLETRANSLATE(C733,""auto"",""en"")"),"Barber Wai cloth")</f>
        <v>Barber Wai cloth</v>
      </c>
    </row>
    <row r="734" spans="1:9" ht="13" x14ac:dyDescent="0.15">
      <c r="A734" s="2" t="s">
        <v>681</v>
      </c>
      <c r="B734" s="2" t="s">
        <v>749</v>
      </c>
      <c r="C734" s="2" t="s">
        <v>761</v>
      </c>
      <c r="D734" s="3">
        <v>1404943</v>
      </c>
      <c r="E734" s="3">
        <v>70782</v>
      </c>
      <c r="F734" s="3">
        <v>169</v>
      </c>
      <c r="G734" s="3" t="str">
        <f ca="1">IFERROR(__xludf.DUMMYFUNCTION("GOOGLETRANSLATE(A734,""auto"",""en"")"),"Baby Products")</f>
        <v>Baby Products</v>
      </c>
      <c r="H734" s="3" t="str">
        <f ca="1">IFERROR(__xludf.DUMMYFUNCTION("GOOGLETRANSLATE(B734,""auto"",""en"")"),"Daily care")</f>
        <v>Daily care</v>
      </c>
      <c r="I734" s="3" t="str">
        <f ca="1">IFERROR(__xludf.DUMMYFUNCTION("GOOGLETRANSLATE(C734,""auto"",""en"")"),"Clean forceps")</f>
        <v>Clean forceps</v>
      </c>
    </row>
    <row r="735" spans="1:9" ht="13" x14ac:dyDescent="0.15">
      <c r="A735" s="2" t="s">
        <v>681</v>
      </c>
      <c r="B735" s="2" t="s">
        <v>749</v>
      </c>
      <c r="C735" s="2" t="s">
        <v>762</v>
      </c>
      <c r="D735" s="3">
        <v>1404943</v>
      </c>
      <c r="E735" s="3">
        <v>70782</v>
      </c>
      <c r="F735" s="3">
        <v>163</v>
      </c>
      <c r="G735" s="3" t="str">
        <f ca="1">IFERROR(__xludf.DUMMYFUNCTION("GOOGLETRANSLATE(A735,""auto"",""en"")"),"Baby Products")</f>
        <v>Baby Products</v>
      </c>
      <c r="H735" s="3" t="str">
        <f ca="1">IFERROR(__xludf.DUMMYFUNCTION("GOOGLETRANSLATE(B735,""auto"",""en"")"),"Daily care")</f>
        <v>Daily care</v>
      </c>
      <c r="I735" s="3" t="str">
        <f ca="1">IFERROR(__xludf.DUMMYFUNCTION("GOOGLETRANSLATE(C735,""auto"",""en"")"),"Protective masks")</f>
        <v>Protective masks</v>
      </c>
    </row>
    <row r="736" spans="1:9" ht="13" x14ac:dyDescent="0.15">
      <c r="A736" s="2" t="s">
        <v>681</v>
      </c>
      <c r="B736" s="2" t="s">
        <v>749</v>
      </c>
      <c r="C736" s="2" t="s">
        <v>763</v>
      </c>
      <c r="D736" s="3">
        <v>1404943</v>
      </c>
      <c r="E736" s="3">
        <v>70782</v>
      </c>
      <c r="F736" s="3">
        <v>147</v>
      </c>
      <c r="G736" s="3" t="str">
        <f ca="1">IFERROR(__xludf.DUMMYFUNCTION("GOOGLETRANSLATE(A736,""auto"",""en"")"),"Baby Products")</f>
        <v>Baby Products</v>
      </c>
      <c r="H736" s="3" t="str">
        <f ca="1">IFERROR(__xludf.DUMMYFUNCTION("GOOGLETRANSLATE(B736,""auto"",""en"")"),"Daily care")</f>
        <v>Daily care</v>
      </c>
      <c r="I736" s="3" t="str">
        <f ca="1">IFERROR(__xludf.DUMMYFUNCTION("GOOGLETRANSLATE(C736,""auto"",""en"")"),"Hygrometer / temperature meter")</f>
        <v>Hygrometer / temperature meter</v>
      </c>
    </row>
    <row r="737" spans="1:9" ht="13" x14ac:dyDescent="0.15">
      <c r="A737" s="2" t="s">
        <v>681</v>
      </c>
      <c r="B737" s="2" t="s">
        <v>749</v>
      </c>
      <c r="C737" s="2" t="s">
        <v>764</v>
      </c>
      <c r="D737" s="3">
        <v>1404943</v>
      </c>
      <c r="E737" s="3">
        <v>70782</v>
      </c>
      <c r="F737" s="3">
        <v>72</v>
      </c>
      <c r="G737" s="3" t="str">
        <f ca="1">IFERROR(__xludf.DUMMYFUNCTION("GOOGLETRANSLATE(A737,""auto"",""en"")"),"Baby Products")</f>
        <v>Baby Products</v>
      </c>
      <c r="H737" s="3" t="str">
        <f ca="1">IFERROR(__xludf.DUMMYFUNCTION("GOOGLETRANSLATE(B737,""auto"",""en"")"),"Daily care")</f>
        <v>Daily care</v>
      </c>
      <c r="I737" s="3" t="str">
        <f ca="1">IFERROR(__xludf.DUMMYFUNCTION("GOOGLETRANSLATE(C737,""auto"",""en"")"),"Feet tall")</f>
        <v>Feet tall</v>
      </c>
    </row>
    <row r="738" spans="1:9" ht="13" x14ac:dyDescent="0.15">
      <c r="A738" s="2" t="s">
        <v>681</v>
      </c>
      <c r="B738" s="2" t="s">
        <v>749</v>
      </c>
      <c r="C738" s="2" t="s">
        <v>765</v>
      </c>
      <c r="D738" s="3">
        <v>1404943</v>
      </c>
      <c r="E738" s="3">
        <v>70782</v>
      </c>
      <c r="F738" s="3">
        <v>65</v>
      </c>
      <c r="G738" s="3" t="str">
        <f ca="1">IFERROR(__xludf.DUMMYFUNCTION("GOOGLETRANSLATE(A738,""auto"",""en"")"),"Baby Products")</f>
        <v>Baby Products</v>
      </c>
      <c r="H738" s="3" t="str">
        <f ca="1">IFERROR(__xludf.DUMMYFUNCTION("GOOGLETRANSLATE(B738,""auto"",""en"")"),"Daily care")</f>
        <v>Daily care</v>
      </c>
      <c r="I738" s="3" t="str">
        <f ca="1">IFERROR(__xludf.DUMMYFUNCTION("GOOGLETRANSLATE(C738,""auto"",""en"")"),"toilet lid")</f>
        <v>toilet lid</v>
      </c>
    </row>
    <row r="739" spans="1:9" ht="13" x14ac:dyDescent="0.15">
      <c r="A739" s="2" t="s">
        <v>681</v>
      </c>
      <c r="B739" s="2" t="s">
        <v>749</v>
      </c>
      <c r="C739" s="2" t="s">
        <v>766</v>
      </c>
      <c r="D739" s="3">
        <v>1404943</v>
      </c>
      <c r="E739" s="3">
        <v>70782</v>
      </c>
      <c r="F739" s="3">
        <v>16</v>
      </c>
      <c r="G739" s="3" t="str">
        <f ca="1">IFERROR(__xludf.DUMMYFUNCTION("GOOGLETRANSLATE(A739,""auto"",""en"")"),"Baby Products")</f>
        <v>Baby Products</v>
      </c>
      <c r="H739" s="3" t="str">
        <f ca="1">IFERROR(__xludf.DUMMYFUNCTION("GOOGLETRANSLATE(B739,""auto"",""en"")"),"Daily care")</f>
        <v>Daily care</v>
      </c>
      <c r="I739" s="3" t="str">
        <f ca="1">IFERROR(__xludf.DUMMYFUNCTION("GOOGLETRANSLATE(C739,""auto"",""en"")"),"Baby electronic scale")</f>
        <v>Baby electronic scale</v>
      </c>
    </row>
    <row r="740" spans="1:9" ht="13" x14ac:dyDescent="0.15">
      <c r="A740" s="2" t="s">
        <v>681</v>
      </c>
      <c r="B740" s="2" t="s">
        <v>749</v>
      </c>
      <c r="C740" s="2" t="s">
        <v>767</v>
      </c>
      <c r="D740" s="3">
        <v>1404943</v>
      </c>
      <c r="E740" s="3">
        <v>70782</v>
      </c>
      <c r="F740" s="3">
        <v>6</v>
      </c>
      <c r="G740" s="3" t="str">
        <f ca="1">IFERROR(__xludf.DUMMYFUNCTION("GOOGLETRANSLATE(A740,""auto"",""en"")"),"Baby Products")</f>
        <v>Baby Products</v>
      </c>
      <c r="H740" s="3" t="str">
        <f ca="1">IFERROR(__xludf.DUMMYFUNCTION("GOOGLETRANSLATE(B740,""auto"",""en"")"),"Daily care")</f>
        <v>Daily care</v>
      </c>
      <c r="I740" s="3" t="str">
        <f ca="1">IFERROR(__xludf.DUMMYFUNCTION("GOOGLETRANSLATE(C740,""auto"",""en"")"),"Diaper Pails")</f>
        <v>Diaper Pails</v>
      </c>
    </row>
    <row r="741" spans="1:9" ht="13" x14ac:dyDescent="0.15">
      <c r="A741" s="2" t="s">
        <v>681</v>
      </c>
      <c r="B741" s="2" t="s">
        <v>749</v>
      </c>
      <c r="C741" s="2" t="s">
        <v>768</v>
      </c>
      <c r="D741" s="3">
        <v>1404943</v>
      </c>
      <c r="E741" s="3">
        <v>70782</v>
      </c>
      <c r="F741" s="3">
        <v>2</v>
      </c>
      <c r="G741" s="3" t="str">
        <f ca="1">IFERROR(__xludf.DUMMYFUNCTION("GOOGLETRANSLATE(A741,""auto"",""en"")"),"Baby Products")</f>
        <v>Baby Products</v>
      </c>
      <c r="H741" s="3" t="str">
        <f ca="1">IFERROR(__xludf.DUMMYFUNCTION("GOOGLETRANSLATE(B741,""auto"",""en"")"),"Daily care")</f>
        <v>Daily care</v>
      </c>
      <c r="I741" s="3" t="str">
        <f ca="1">IFERROR(__xludf.DUMMYFUNCTION("GOOGLETRANSLATE(C741,""auto"",""en"")"),"Wipes heater")</f>
        <v>Wipes heater</v>
      </c>
    </row>
    <row r="742" spans="1:9" ht="13" x14ac:dyDescent="0.15">
      <c r="A742" s="2" t="s">
        <v>681</v>
      </c>
      <c r="B742" s="2" t="s">
        <v>749</v>
      </c>
      <c r="C742" s="2" t="s">
        <v>769</v>
      </c>
      <c r="D742" s="3">
        <v>1404943</v>
      </c>
      <c r="E742" s="3">
        <v>70782</v>
      </c>
      <c r="F742" s="3">
        <v>2</v>
      </c>
      <c r="G742" s="3" t="str">
        <f ca="1">IFERROR(__xludf.DUMMYFUNCTION("GOOGLETRANSLATE(A742,""auto"",""en"")"),"Baby Products")</f>
        <v>Baby Products</v>
      </c>
      <c r="H742" s="3" t="str">
        <f ca="1">IFERROR(__xludf.DUMMYFUNCTION("GOOGLETRANSLATE(B742,""auto"",""en"")"),"Daily care")</f>
        <v>Daily care</v>
      </c>
      <c r="I742" s="3" t="str">
        <f ca="1">IFERROR(__xludf.DUMMYFUNCTION("GOOGLETRANSLATE(C742,""auto"",""en"")"),"Baby Shower")</f>
        <v>Baby Shower</v>
      </c>
    </row>
    <row r="743" spans="1:9" ht="13" x14ac:dyDescent="0.15">
      <c r="A743" s="2" t="s">
        <v>681</v>
      </c>
      <c r="B743" s="2" t="s">
        <v>770</v>
      </c>
      <c r="C743" s="2" t="s">
        <v>771</v>
      </c>
      <c r="D743" s="3">
        <v>1404943</v>
      </c>
      <c r="E743" s="3">
        <v>44698</v>
      </c>
      <c r="F743" s="3">
        <v>25324</v>
      </c>
      <c r="G743" s="3" t="str">
        <f ca="1">IFERROR(__xludf.DUMMYFUNCTION("GOOGLETRANSLATE(A743,""auto"",""en"")"),"Baby Products")</f>
        <v>Baby Products</v>
      </c>
      <c r="H743" s="3" t="str">
        <f ca="1">IFERROR(__xludf.DUMMYFUNCTION("GOOGLETRANSLATE(B743,""auto"",""en"")"),"Cloth diapers / changing mat")</f>
        <v>Cloth diapers / changing mat</v>
      </c>
      <c r="I743" s="3" t="str">
        <f ca="1">IFERROR(__xludf.DUMMYFUNCTION("GOOGLETRANSLATE(C743,""auto"",""en"")"),"Changing mat")</f>
        <v>Changing mat</v>
      </c>
    </row>
    <row r="744" spans="1:9" ht="13" x14ac:dyDescent="0.15">
      <c r="A744" s="2" t="s">
        <v>681</v>
      </c>
      <c r="B744" s="2" t="s">
        <v>770</v>
      </c>
      <c r="C744" s="2" t="s">
        <v>772</v>
      </c>
      <c r="D744" s="3">
        <v>1404943</v>
      </c>
      <c r="E744" s="3">
        <v>44698</v>
      </c>
      <c r="F744" s="3">
        <v>7945</v>
      </c>
      <c r="G744" s="3" t="str">
        <f ca="1">IFERROR(__xludf.DUMMYFUNCTION("GOOGLETRANSLATE(A744,""auto"",""en"")"),"Baby Products")</f>
        <v>Baby Products</v>
      </c>
      <c r="H744" s="3" t="str">
        <f ca="1">IFERROR(__xludf.DUMMYFUNCTION("GOOGLETRANSLATE(B744,""auto"",""en"")"),"Cloth diapers / changing mat")</f>
        <v>Cloth diapers / changing mat</v>
      </c>
      <c r="I744" s="3" t="str">
        <f ca="1">IFERROR(__xludf.DUMMYFUNCTION("GOOGLETRANSLATE(C744,""auto"",""en"")"),"Gauze diapers")</f>
        <v>Gauze diapers</v>
      </c>
    </row>
    <row r="745" spans="1:9" ht="13" x14ac:dyDescent="0.15">
      <c r="A745" s="2" t="s">
        <v>681</v>
      </c>
      <c r="B745" s="2" t="s">
        <v>770</v>
      </c>
      <c r="C745" s="2" t="s">
        <v>773</v>
      </c>
      <c r="D745" s="3">
        <v>1404943</v>
      </c>
      <c r="E745" s="3">
        <v>44698</v>
      </c>
      <c r="F745" s="3">
        <v>6418</v>
      </c>
      <c r="G745" s="3" t="str">
        <f ca="1">IFERROR(__xludf.DUMMYFUNCTION("GOOGLETRANSLATE(A745,""auto"",""en"")"),"Baby Products")</f>
        <v>Baby Products</v>
      </c>
      <c r="H745" s="3" t="str">
        <f ca="1">IFERROR(__xludf.DUMMYFUNCTION("GOOGLETRANSLATE(B745,""auto"",""en"")"),"Cloth diapers / changing mat")</f>
        <v>Cloth diapers / changing mat</v>
      </c>
      <c r="I745" s="3" t="str">
        <f ca="1">IFERROR(__xludf.DUMMYFUNCTION("GOOGLETRANSLATE(C745,""auto"",""en"")"),"Cloth diapers")</f>
        <v>Cloth diapers</v>
      </c>
    </row>
    <row r="746" spans="1:9" ht="13" x14ac:dyDescent="0.15">
      <c r="A746" s="2" t="s">
        <v>681</v>
      </c>
      <c r="B746" s="2" t="s">
        <v>770</v>
      </c>
      <c r="C746" s="2" t="s">
        <v>774</v>
      </c>
      <c r="D746" s="3">
        <v>1404943</v>
      </c>
      <c r="E746" s="3">
        <v>44698</v>
      </c>
      <c r="F746" s="3">
        <v>4584</v>
      </c>
      <c r="G746" s="3" t="str">
        <f ca="1">IFERROR(__xludf.DUMMYFUNCTION("GOOGLETRANSLATE(A746,""auto"",""en"")"),"Baby Products")</f>
        <v>Baby Products</v>
      </c>
      <c r="H746" s="3" t="str">
        <f ca="1">IFERROR(__xludf.DUMMYFUNCTION("GOOGLETRANSLATE(B746,""auto"",""en"")"),"Cloth diapers / changing mat")</f>
        <v>Cloth diapers / changing mat</v>
      </c>
      <c r="I746" s="3" t="str">
        <f ca="1">IFERROR(__xludf.DUMMYFUNCTION("GOOGLETRANSLATE(C746,""auto"",""en"")"),"With diapers")</f>
        <v>With diapers</v>
      </c>
    </row>
    <row r="747" spans="1:9" ht="13" x14ac:dyDescent="0.15">
      <c r="A747" s="2" t="s">
        <v>681</v>
      </c>
      <c r="B747" s="2" t="s">
        <v>770</v>
      </c>
      <c r="C747" s="2" t="s">
        <v>770</v>
      </c>
      <c r="D747" s="3">
        <v>1404943</v>
      </c>
      <c r="E747" s="3">
        <v>44698</v>
      </c>
      <c r="F747" s="3">
        <v>241</v>
      </c>
      <c r="G747" s="3" t="str">
        <f ca="1">IFERROR(__xludf.DUMMYFUNCTION("GOOGLETRANSLATE(A747,""auto"",""en"")"),"Baby Products")</f>
        <v>Baby Products</v>
      </c>
      <c r="H747" s="3" t="str">
        <f ca="1">IFERROR(__xludf.DUMMYFUNCTION("GOOGLETRANSLATE(B747,""auto"",""en"")"),"Cloth diapers / changing mat")</f>
        <v>Cloth diapers / changing mat</v>
      </c>
      <c r="I747" s="3" t="str">
        <f ca="1">IFERROR(__xludf.DUMMYFUNCTION("GOOGLETRANSLATE(C747,""auto"",""en"")"),"Cloth diapers / changing mat")</f>
        <v>Cloth diapers / changing mat</v>
      </c>
    </row>
    <row r="748" spans="1:9" ht="13" x14ac:dyDescent="0.15">
      <c r="A748" s="2" t="s">
        <v>681</v>
      </c>
      <c r="B748" s="2" t="s">
        <v>770</v>
      </c>
      <c r="C748" s="2" t="s">
        <v>775</v>
      </c>
      <c r="D748" s="3">
        <v>1404943</v>
      </c>
      <c r="E748" s="3">
        <v>44698</v>
      </c>
      <c r="F748" s="3">
        <v>194</v>
      </c>
      <c r="G748" s="3" t="str">
        <f ca="1">IFERROR(__xludf.DUMMYFUNCTION("GOOGLETRANSLATE(A748,""auto"",""en"")"),"Baby Products")</f>
        <v>Baby Products</v>
      </c>
      <c r="H748" s="3" t="str">
        <f ca="1">IFERROR(__xludf.DUMMYFUNCTION("GOOGLETRANSLATE(B748,""auto"",""en"")"),"Cloth diapers / changing mat")</f>
        <v>Cloth diapers / changing mat</v>
      </c>
      <c r="I748" s="3" t="str">
        <f ca="1">IFERROR(__xludf.DUMMYFUNCTION("GOOGLETRANSLATE(C748,""auto"",""en"")"),"Urine mattress every")</f>
        <v>Urine mattress every</v>
      </c>
    </row>
    <row r="749" spans="1:9" ht="13" x14ac:dyDescent="0.15">
      <c r="A749" s="2" t="s">
        <v>681</v>
      </c>
      <c r="B749" s="2" t="s">
        <v>776</v>
      </c>
      <c r="C749" s="2" t="s">
        <v>777</v>
      </c>
      <c r="D749" s="3">
        <v>1404943</v>
      </c>
      <c r="E749" s="3">
        <v>28666</v>
      </c>
      <c r="F749" s="3">
        <v>13939</v>
      </c>
      <c r="G749" s="3" t="str">
        <f ca="1">IFERROR(__xludf.DUMMYFUNCTION("GOOGLETRANSLATE(A749,""auto"",""en"")"),"Baby Products")</f>
        <v>Baby Products</v>
      </c>
      <c r="H749" s="3" t="str">
        <f ca="1">IFERROR(__xludf.DUMMYFUNCTION("GOOGLETRANSLATE(B749,""auto"",""en"")"),"Gutta percha / toothbrush / toothpaste")</f>
        <v>Gutta percha / toothbrush / toothpaste</v>
      </c>
      <c r="I749" s="3" t="str">
        <f ca="1">IFERROR(__xludf.DUMMYFUNCTION("GOOGLETRANSLATE(C749,""auto"",""en"")"),"Milk toothbrush")</f>
        <v>Milk toothbrush</v>
      </c>
    </row>
    <row r="750" spans="1:9" ht="13" x14ac:dyDescent="0.15">
      <c r="A750" s="2" t="s">
        <v>681</v>
      </c>
      <c r="B750" s="2" t="s">
        <v>776</v>
      </c>
      <c r="C750" s="2" t="s">
        <v>778</v>
      </c>
      <c r="D750" s="3">
        <v>1404943</v>
      </c>
      <c r="E750" s="3">
        <v>28666</v>
      </c>
      <c r="F750" s="3">
        <v>6565</v>
      </c>
      <c r="G750" s="3" t="str">
        <f ca="1">IFERROR(__xludf.DUMMYFUNCTION("GOOGLETRANSLATE(A750,""auto"",""en"")"),"Baby Products")</f>
        <v>Baby Products</v>
      </c>
      <c r="H750" s="3" t="str">
        <f ca="1">IFERROR(__xludf.DUMMYFUNCTION("GOOGLETRANSLATE(B750,""auto"",""en"")"),"Gutta percha / toothbrush / toothpaste")</f>
        <v>Gutta percha / toothbrush / toothpaste</v>
      </c>
      <c r="I750" s="3" t="str">
        <f ca="1">IFERROR(__xludf.DUMMYFUNCTION("GOOGLETRANSLATE(C750,""auto"",""en"")"),"Gu Chi")</f>
        <v>Gu Chi</v>
      </c>
    </row>
    <row r="751" spans="1:9" ht="13" x14ac:dyDescent="0.15">
      <c r="A751" s="2" t="s">
        <v>681</v>
      </c>
      <c r="B751" s="2" t="s">
        <v>776</v>
      </c>
      <c r="C751" s="2" t="s">
        <v>779</v>
      </c>
      <c r="D751" s="3">
        <v>1404943</v>
      </c>
      <c r="E751" s="3">
        <v>28666</v>
      </c>
      <c r="F751" s="3">
        <v>3340</v>
      </c>
      <c r="G751" s="3" t="str">
        <f ca="1">IFERROR(__xludf.DUMMYFUNCTION("GOOGLETRANSLATE(A751,""auto"",""en"")"),"Baby Products")</f>
        <v>Baby Products</v>
      </c>
      <c r="H751" s="3" t="str">
        <f ca="1">IFERROR(__xludf.DUMMYFUNCTION("GOOGLETRANSLATE(B751,""auto"",""en"")"),"Gutta percha / toothbrush / toothpaste")</f>
        <v>Gutta percha / toothbrush / toothpaste</v>
      </c>
      <c r="I751" s="3" t="str">
        <f ca="1">IFERROR(__xludf.DUMMYFUNCTION("GOOGLETRANSLATE(C751,""auto"",""en"")"),"Bite bite bags")</f>
        <v>Bite bite bags</v>
      </c>
    </row>
    <row r="752" spans="1:9" ht="13" x14ac:dyDescent="0.15">
      <c r="A752" s="2" t="s">
        <v>681</v>
      </c>
      <c r="B752" s="2" t="s">
        <v>776</v>
      </c>
      <c r="C752" s="2" t="s">
        <v>780</v>
      </c>
      <c r="D752" s="3">
        <v>1404943</v>
      </c>
      <c r="E752" s="3">
        <v>28666</v>
      </c>
      <c r="F752" s="3">
        <v>2431</v>
      </c>
      <c r="G752" s="3" t="str">
        <f ca="1">IFERROR(__xludf.DUMMYFUNCTION("GOOGLETRANSLATE(A752,""auto"",""en"")"),"Baby Products")</f>
        <v>Baby Products</v>
      </c>
      <c r="H752" s="3" t="str">
        <f ca="1">IFERROR(__xludf.DUMMYFUNCTION("GOOGLETRANSLATE(B752,""auto"",""en"")"),"Gutta percha / toothbrush / toothpaste")</f>
        <v>Gutta percha / toothbrush / toothpaste</v>
      </c>
      <c r="I752" s="3" t="str">
        <f ca="1">IFERROR(__xludf.DUMMYFUNCTION("GOOGLETRANSLATE(C752,""auto"",""en"")"),"Toothbrush Set")</f>
        <v>Toothbrush Set</v>
      </c>
    </row>
    <row r="753" spans="1:9" ht="13" x14ac:dyDescent="0.15">
      <c r="A753" s="2" t="s">
        <v>681</v>
      </c>
      <c r="B753" s="2" t="s">
        <v>776</v>
      </c>
      <c r="C753" s="2" t="s">
        <v>781</v>
      </c>
      <c r="D753" s="3">
        <v>1404943</v>
      </c>
      <c r="E753" s="3">
        <v>28666</v>
      </c>
      <c r="F753" s="3">
        <v>1690</v>
      </c>
      <c r="G753" s="3" t="str">
        <f ca="1">IFERROR(__xludf.DUMMYFUNCTION("GOOGLETRANSLATE(A753,""auto"",""en"")"),"Baby Products")</f>
        <v>Baby Products</v>
      </c>
      <c r="H753" s="3" t="str">
        <f ca="1">IFERROR(__xludf.DUMMYFUNCTION("GOOGLETRANSLATE(B753,""auto"",""en"")"),"Gutta percha / toothbrush / toothpaste")</f>
        <v>Gutta percha / toothbrush / toothpaste</v>
      </c>
      <c r="I753" s="3" t="str">
        <f ca="1">IFERROR(__xludf.DUMMYFUNCTION("GOOGLETRANSLATE(C753,""auto"",""en"")"),"toothpaste")</f>
        <v>toothpaste</v>
      </c>
    </row>
    <row r="754" spans="1:9" ht="13" x14ac:dyDescent="0.15">
      <c r="A754" s="2" t="s">
        <v>681</v>
      </c>
      <c r="B754" s="2" t="s">
        <v>776</v>
      </c>
      <c r="C754" s="2" t="s">
        <v>782</v>
      </c>
      <c r="D754" s="3">
        <v>1404943</v>
      </c>
      <c r="E754" s="3">
        <v>28666</v>
      </c>
      <c r="F754" s="3">
        <v>500</v>
      </c>
      <c r="G754" s="3" t="str">
        <f ca="1">IFERROR(__xludf.DUMMYFUNCTION("GOOGLETRANSLATE(A754,""auto"",""en"")"),"Baby Products")</f>
        <v>Baby Products</v>
      </c>
      <c r="H754" s="3" t="str">
        <f ca="1">IFERROR(__xludf.DUMMYFUNCTION("GOOGLETRANSLATE(B754,""auto"",""en"")"),"Gutta percha / toothbrush / toothpaste")</f>
        <v>Gutta percha / toothbrush / toothpaste</v>
      </c>
      <c r="I754" s="3" t="str">
        <f ca="1">IFERROR(__xludf.DUMMYFUNCTION("GOOGLETRANSLATE(C754,""auto"",""en"")"),"other")</f>
        <v>other</v>
      </c>
    </row>
    <row r="755" spans="1:9" ht="13" x14ac:dyDescent="0.15">
      <c r="A755" s="2" t="s">
        <v>681</v>
      </c>
      <c r="B755" s="2" t="s">
        <v>776</v>
      </c>
      <c r="C755" s="2" t="s">
        <v>776</v>
      </c>
      <c r="D755" s="3">
        <v>1404943</v>
      </c>
      <c r="E755" s="3">
        <v>28666</v>
      </c>
      <c r="F755" s="3">
        <v>123</v>
      </c>
      <c r="G755" s="3" t="str">
        <f ca="1">IFERROR(__xludf.DUMMYFUNCTION("GOOGLETRANSLATE(A755,""auto"",""en"")"),"Baby Products")</f>
        <v>Baby Products</v>
      </c>
      <c r="H755" s="3" t="str">
        <f ca="1">IFERROR(__xludf.DUMMYFUNCTION("GOOGLETRANSLATE(B755,""auto"",""en"")"),"Gutta percha / toothbrush / toothpaste")</f>
        <v>Gutta percha / toothbrush / toothpaste</v>
      </c>
      <c r="I755" s="3" t="str">
        <f ca="1">IFERROR(__xludf.DUMMYFUNCTION("GOOGLETRANSLATE(C755,""auto"",""en"")"),"Gutta percha / toothbrush / toothpaste")</f>
        <v>Gutta percha / toothbrush / toothpaste</v>
      </c>
    </row>
    <row r="756" spans="1:9" ht="13" x14ac:dyDescent="0.15">
      <c r="A756" s="2" t="s">
        <v>681</v>
      </c>
      <c r="B756" s="2" t="s">
        <v>776</v>
      </c>
      <c r="C756" s="2" t="s">
        <v>783</v>
      </c>
      <c r="D756" s="3">
        <v>1404943</v>
      </c>
      <c r="E756" s="3">
        <v>28666</v>
      </c>
      <c r="F756" s="3">
        <v>75</v>
      </c>
      <c r="G756" s="3" t="str">
        <f ca="1">IFERROR(__xludf.DUMMYFUNCTION("GOOGLETRANSLATE(A756,""auto"",""en"")"),"Baby Products")</f>
        <v>Baby Products</v>
      </c>
      <c r="H756" s="3" t="str">
        <f ca="1">IFERROR(__xludf.DUMMYFUNCTION("GOOGLETRANSLATE(B756,""auto"",""en"")"),"Gutta percha / toothbrush / toothpaste")</f>
        <v>Gutta percha / toothbrush / toothpaste</v>
      </c>
      <c r="I756" s="3" t="str">
        <f ca="1">IFERROR(__xludf.DUMMYFUNCTION("GOOGLETRANSLATE(C756,""auto"",""en"")"),"electric toothbrush")</f>
        <v>electric toothbrush</v>
      </c>
    </row>
    <row r="757" spans="1:9" ht="13" x14ac:dyDescent="0.15">
      <c r="A757" s="2" t="s">
        <v>681</v>
      </c>
      <c r="B757" s="2" t="s">
        <v>776</v>
      </c>
      <c r="C757" s="2" t="s">
        <v>784</v>
      </c>
      <c r="D757" s="3">
        <v>1404943</v>
      </c>
      <c r="E757" s="3">
        <v>28666</v>
      </c>
      <c r="F757" s="3">
        <v>3</v>
      </c>
      <c r="G757" s="3" t="str">
        <f ca="1">IFERROR(__xludf.DUMMYFUNCTION("GOOGLETRANSLATE(A757,""auto"",""en"")"),"Baby Products")</f>
        <v>Baby Products</v>
      </c>
      <c r="H757" s="3" t="str">
        <f ca="1">IFERROR(__xludf.DUMMYFUNCTION("GOOGLETRANSLATE(B757,""auto"",""en"")"),"Gutta percha / toothbrush / toothpaste")</f>
        <v>Gutta percha / toothbrush / toothpaste</v>
      </c>
      <c r="I757" s="3" t="str">
        <f ca="1">IFERROR(__xludf.DUMMYFUNCTION("GOOGLETRANSLATE(C757,""auto"",""en"")"),"Tooth Mousse")</f>
        <v>Tooth Mousse</v>
      </c>
    </row>
    <row r="758" spans="1:9" ht="13" x14ac:dyDescent="0.15">
      <c r="A758" s="2" t="s">
        <v>681</v>
      </c>
      <c r="B758" s="2" t="s">
        <v>785</v>
      </c>
      <c r="C758" s="2" t="s">
        <v>786</v>
      </c>
      <c r="D758" s="3">
        <v>1404943</v>
      </c>
      <c r="E758" s="3">
        <v>26208</v>
      </c>
      <c r="F758" s="3">
        <v>23403</v>
      </c>
      <c r="G758" s="3" t="str">
        <f ca="1">IFERROR(__xludf.DUMMYFUNCTION("GOOGLETRANSLATE(A758,""auto"",""en"")"),"Baby Products")</f>
        <v>Baby Products</v>
      </c>
      <c r="H758" s="3" t="str">
        <f ca="1">IFERROR(__xludf.DUMMYFUNCTION("GOOGLETRANSLATE(B758,""auto"",""en"")"),"Stroller / walker")</f>
        <v>Stroller / walker</v>
      </c>
      <c r="I758" s="3" t="str">
        <f ca="1">IFERROR(__xludf.DUMMYFUNCTION("GOOGLETRANSLATE(C758,""auto"",""en"")"),"Carts")</f>
        <v>Carts</v>
      </c>
    </row>
    <row r="759" spans="1:9" ht="13" x14ac:dyDescent="0.15">
      <c r="A759" s="2" t="s">
        <v>681</v>
      </c>
      <c r="B759" s="2" t="s">
        <v>785</v>
      </c>
      <c r="C759" s="2" t="s">
        <v>787</v>
      </c>
      <c r="D759" s="3">
        <v>1404943</v>
      </c>
      <c r="E759" s="3">
        <v>26208</v>
      </c>
      <c r="F759" s="3">
        <v>1516</v>
      </c>
      <c r="G759" s="3" t="str">
        <f ca="1">IFERROR(__xludf.DUMMYFUNCTION("GOOGLETRANSLATE(A759,""auto"",""en"")"),"Baby Products")</f>
        <v>Baby Products</v>
      </c>
      <c r="H759" s="3" t="str">
        <f ca="1">IFERROR(__xludf.DUMMYFUNCTION("GOOGLETRANSLATE(B759,""auto"",""en"")"),"Stroller / walker")</f>
        <v>Stroller / walker</v>
      </c>
      <c r="I759" s="3" t="str">
        <f ca="1">IFERROR(__xludf.DUMMYFUNCTION("GOOGLETRANSLATE(C759,""auto"",""en"")"),"Walker")</f>
        <v>Walker</v>
      </c>
    </row>
    <row r="760" spans="1:9" ht="13" x14ac:dyDescent="0.15">
      <c r="A760" s="2" t="s">
        <v>681</v>
      </c>
      <c r="B760" s="2" t="s">
        <v>785</v>
      </c>
      <c r="C760" s="2" t="s">
        <v>788</v>
      </c>
      <c r="D760" s="3">
        <v>1404943</v>
      </c>
      <c r="E760" s="3">
        <v>26208</v>
      </c>
      <c r="F760" s="3">
        <v>1045</v>
      </c>
      <c r="G760" s="3" t="str">
        <f ca="1">IFERROR(__xludf.DUMMYFUNCTION("GOOGLETRANSLATE(A760,""auto"",""en"")"),"Baby Products")</f>
        <v>Baby Products</v>
      </c>
      <c r="H760" s="3" t="str">
        <f ca="1">IFERROR(__xludf.DUMMYFUNCTION("GOOGLETRANSLATE(B760,""auto"",""en"")"),"Stroller / walker")</f>
        <v>Stroller / walker</v>
      </c>
      <c r="I760" s="3" t="str">
        <f ca="1">IFERROR(__xludf.DUMMYFUNCTION("GOOGLETRANSLATE(C760,""auto"",""en"")"),"Stroller Accessories")</f>
        <v>Stroller Accessories</v>
      </c>
    </row>
    <row r="761" spans="1:9" ht="13" x14ac:dyDescent="0.15">
      <c r="A761" s="2" t="s">
        <v>681</v>
      </c>
      <c r="B761" s="2" t="s">
        <v>785</v>
      </c>
      <c r="C761" s="2" t="s">
        <v>789</v>
      </c>
      <c r="D761" s="3">
        <v>1404943</v>
      </c>
      <c r="E761" s="3">
        <v>26208</v>
      </c>
      <c r="F761" s="3">
        <v>188</v>
      </c>
      <c r="G761" s="3" t="str">
        <f ca="1">IFERROR(__xludf.DUMMYFUNCTION("GOOGLETRANSLATE(A761,""auto"",""en"")"),"Baby Products")</f>
        <v>Baby Products</v>
      </c>
      <c r="H761" s="3" t="str">
        <f ca="1">IFERROR(__xludf.DUMMYFUNCTION("GOOGLETRANSLATE(B761,""auto"",""en"")"),"Stroller / walker")</f>
        <v>Stroller / walker</v>
      </c>
      <c r="I761" s="3" t="str">
        <f ca="1">IFERROR(__xludf.DUMMYFUNCTION("GOOGLETRANSLATE(C761,""auto"",""en"")"),"Three carts")</f>
        <v>Three carts</v>
      </c>
    </row>
    <row r="762" spans="1:9" ht="13" x14ac:dyDescent="0.15">
      <c r="A762" s="2" t="s">
        <v>681</v>
      </c>
      <c r="B762" s="2" t="s">
        <v>785</v>
      </c>
      <c r="C762" s="2" t="s">
        <v>785</v>
      </c>
      <c r="D762" s="3">
        <v>1404943</v>
      </c>
      <c r="E762" s="3">
        <v>26208</v>
      </c>
      <c r="F762" s="3">
        <v>44</v>
      </c>
      <c r="G762" s="3" t="str">
        <f ca="1">IFERROR(__xludf.DUMMYFUNCTION("GOOGLETRANSLATE(A762,""auto"",""en"")"),"Baby Products")</f>
        <v>Baby Products</v>
      </c>
      <c r="H762" s="3" t="str">
        <f ca="1">IFERROR(__xludf.DUMMYFUNCTION("GOOGLETRANSLATE(B762,""auto"",""en"")"),"Stroller / walker")</f>
        <v>Stroller / walker</v>
      </c>
      <c r="I762" s="3" t="str">
        <f ca="1">IFERROR(__xludf.DUMMYFUNCTION("GOOGLETRANSLATE(C762,""auto"",""en"")"),"Stroller / walker")</f>
        <v>Stroller / walker</v>
      </c>
    </row>
    <row r="763" spans="1:9" ht="13" x14ac:dyDescent="0.15">
      <c r="A763" s="2" t="s">
        <v>681</v>
      </c>
      <c r="B763" s="2" t="s">
        <v>785</v>
      </c>
      <c r="C763" s="2" t="s">
        <v>790</v>
      </c>
      <c r="D763" s="3">
        <v>1404943</v>
      </c>
      <c r="E763" s="3">
        <v>26208</v>
      </c>
      <c r="F763" s="3">
        <v>12</v>
      </c>
      <c r="G763" s="3" t="str">
        <f ca="1">IFERROR(__xludf.DUMMYFUNCTION("GOOGLETRANSLATE(A763,""auto"",""en"")"),"Baby Products")</f>
        <v>Baby Products</v>
      </c>
      <c r="H763" s="3" t="str">
        <f ca="1">IFERROR(__xludf.DUMMYFUNCTION("GOOGLETRANSLATE(B763,""auto"",""en"")"),"Stroller / walker")</f>
        <v>Stroller / walker</v>
      </c>
      <c r="I763" s="3" t="str">
        <f ca="1">IFERROR(__xludf.DUMMYFUNCTION("GOOGLETRANSLATE(C763,""auto"",""en"")"),"Twin stroller")</f>
        <v>Twin stroller</v>
      </c>
    </row>
    <row r="764" spans="1:9" ht="13" x14ac:dyDescent="0.15">
      <c r="A764" s="2" t="s">
        <v>681</v>
      </c>
      <c r="B764" s="2" t="s">
        <v>791</v>
      </c>
      <c r="C764" s="2" t="s">
        <v>92</v>
      </c>
      <c r="D764" s="3">
        <v>1404943</v>
      </c>
      <c r="E764" s="3">
        <v>23777</v>
      </c>
      <c r="F764" s="3">
        <v>10506</v>
      </c>
      <c r="G764" s="3" t="str">
        <f ca="1">IFERROR(__xludf.DUMMYFUNCTION("GOOGLETRANSLATE(A764,""auto"",""en"")"),"Baby Products")</f>
        <v>Baby Products</v>
      </c>
      <c r="H764" s="3" t="str">
        <f ca="1">IFERROR(__xludf.DUMMYFUNCTION("GOOGLETRANSLATE(B764,""auto"",""en"")"),"Security")</f>
        <v>Security</v>
      </c>
      <c r="I764" s="3" t="str">
        <f ca="1">IFERROR(__xludf.DUMMYFUNCTION("GOOGLETRANSLATE(C764,""auto"",""en"")"),"other")</f>
        <v>other</v>
      </c>
    </row>
    <row r="765" spans="1:9" ht="13" x14ac:dyDescent="0.15">
      <c r="A765" s="2" t="s">
        <v>681</v>
      </c>
      <c r="B765" s="2" t="s">
        <v>791</v>
      </c>
      <c r="C765" s="2" t="s">
        <v>792</v>
      </c>
      <c r="D765" s="3">
        <v>1404943</v>
      </c>
      <c r="E765" s="3">
        <v>23777</v>
      </c>
      <c r="F765" s="3">
        <v>5702</v>
      </c>
      <c r="G765" s="3" t="str">
        <f ca="1">IFERROR(__xludf.DUMMYFUNCTION("GOOGLETRANSLATE(A765,""auto"",""en"")"),"Baby Products")</f>
        <v>Baby Products</v>
      </c>
      <c r="H765" s="3" t="str">
        <f ca="1">IFERROR(__xludf.DUMMYFUNCTION("GOOGLETRANSLATE(B765,""auto"",""en"")"),"Security")</f>
        <v>Security</v>
      </c>
      <c r="I765" s="3" t="str">
        <f ca="1">IFERROR(__xludf.DUMMYFUNCTION("GOOGLETRANSLATE(C765,""auto"",""en"")"),"Crash")</f>
        <v>Crash</v>
      </c>
    </row>
    <row r="766" spans="1:9" ht="13" x14ac:dyDescent="0.15">
      <c r="A766" s="2" t="s">
        <v>681</v>
      </c>
      <c r="B766" s="2" t="s">
        <v>791</v>
      </c>
      <c r="C766" s="2" t="s">
        <v>793</v>
      </c>
      <c r="D766" s="3">
        <v>1404943</v>
      </c>
      <c r="E766" s="3">
        <v>23777</v>
      </c>
      <c r="F766" s="3">
        <v>5466</v>
      </c>
      <c r="G766" s="3" t="str">
        <f ca="1">IFERROR(__xludf.DUMMYFUNCTION("GOOGLETRANSLATE(A766,""auto"",""en"")"),"Baby Products")</f>
        <v>Baby Products</v>
      </c>
      <c r="H766" s="3" t="str">
        <f ca="1">IFERROR(__xludf.DUMMYFUNCTION("GOOGLETRANSLATE(B766,""auto"",""en"")"),"Security")</f>
        <v>Security</v>
      </c>
      <c r="I766" s="3" t="str">
        <f ca="1">IFERROR(__xludf.DUMMYFUNCTION("GOOGLETRANSLATE(C766,""auto"",""en"")"),"Bed rails")</f>
        <v>Bed rails</v>
      </c>
    </row>
    <row r="767" spans="1:9" ht="13" x14ac:dyDescent="0.15">
      <c r="A767" s="2" t="s">
        <v>681</v>
      </c>
      <c r="B767" s="2" t="s">
        <v>791</v>
      </c>
      <c r="C767" s="2" t="s">
        <v>794</v>
      </c>
      <c r="D767" s="3">
        <v>1404943</v>
      </c>
      <c r="E767" s="3">
        <v>23777</v>
      </c>
      <c r="F767" s="3">
        <v>825</v>
      </c>
      <c r="G767" s="3" t="str">
        <f ca="1">IFERROR(__xludf.DUMMYFUNCTION("GOOGLETRANSLATE(A767,""auto"",""en"")"),"Baby Products")</f>
        <v>Baby Products</v>
      </c>
      <c r="H767" s="3" t="str">
        <f ca="1">IFERROR(__xludf.DUMMYFUNCTION("GOOGLETRANSLATE(B767,""auto"",""en"")"),"Security")</f>
        <v>Security</v>
      </c>
      <c r="I767" s="3" t="str">
        <f ca="1">IFERROR(__xludf.DUMMYFUNCTION("GOOGLETRANSLATE(C767,""auto"",""en"")"),"Security lock")</f>
        <v>Security lock</v>
      </c>
    </row>
    <row r="768" spans="1:9" ht="13" x14ac:dyDescent="0.15">
      <c r="A768" s="2" t="s">
        <v>681</v>
      </c>
      <c r="B768" s="2" t="s">
        <v>791</v>
      </c>
      <c r="C768" s="2" t="s">
        <v>795</v>
      </c>
      <c r="D768" s="3">
        <v>1404943</v>
      </c>
      <c r="E768" s="3">
        <v>23777</v>
      </c>
      <c r="F768" s="3">
        <v>657</v>
      </c>
      <c r="G768" s="3" t="str">
        <f ca="1">IFERROR(__xludf.DUMMYFUNCTION("GOOGLETRANSLATE(A768,""auto"",""en"")"),"Baby Products")</f>
        <v>Baby Products</v>
      </c>
      <c r="H768" s="3" t="str">
        <f ca="1">IFERROR(__xludf.DUMMYFUNCTION("GOOGLETRANSLATE(B768,""auto"",""en"")"),"Security")</f>
        <v>Security</v>
      </c>
      <c r="I768" s="3" t="str">
        <f ca="1">IFERROR(__xludf.DUMMYFUNCTION("GOOGLETRANSLATE(C768,""auto"",""en"")"),"Electric shock")</f>
        <v>Electric shock</v>
      </c>
    </row>
    <row r="769" spans="1:9" ht="13" x14ac:dyDescent="0.15">
      <c r="A769" s="2" t="s">
        <v>681</v>
      </c>
      <c r="B769" s="2" t="s">
        <v>791</v>
      </c>
      <c r="C769" s="2" t="s">
        <v>796</v>
      </c>
      <c r="D769" s="3">
        <v>1404943</v>
      </c>
      <c r="E769" s="3">
        <v>23777</v>
      </c>
      <c r="F769" s="3">
        <v>290</v>
      </c>
      <c r="G769" s="3" t="str">
        <f ca="1">IFERROR(__xludf.DUMMYFUNCTION("GOOGLETRANSLATE(A769,""auto"",""en"")"),"Baby Products")</f>
        <v>Baby Products</v>
      </c>
      <c r="H769" s="3" t="str">
        <f ca="1">IFERROR(__xludf.DUMMYFUNCTION("GOOGLETRANSLATE(B769,""auto"",""en"")"),"Security")</f>
        <v>Security</v>
      </c>
      <c r="I769" s="3" t="str">
        <f ca="1">IFERROR(__xludf.DUMMYFUNCTION("GOOGLETRANSLATE(C769,""auto"",""en"")"),"protection cap")</f>
        <v>protection cap</v>
      </c>
    </row>
    <row r="770" spans="1:9" ht="13" x14ac:dyDescent="0.15">
      <c r="A770" s="2" t="s">
        <v>681</v>
      </c>
      <c r="B770" s="2" t="s">
        <v>791</v>
      </c>
      <c r="C770" s="2" t="s">
        <v>797</v>
      </c>
      <c r="D770" s="3">
        <v>1404943</v>
      </c>
      <c r="E770" s="3">
        <v>23777</v>
      </c>
      <c r="F770" s="3">
        <v>146</v>
      </c>
      <c r="G770" s="3" t="str">
        <f ca="1">IFERROR(__xludf.DUMMYFUNCTION("GOOGLETRANSLATE(A770,""auto"",""en"")"),"Baby Products")</f>
        <v>Baby Products</v>
      </c>
      <c r="H770" s="3" t="str">
        <f ca="1">IFERROR(__xludf.DUMMYFUNCTION("GOOGLETRANSLATE(B770,""auto"",""en"")"),"Security")</f>
        <v>Security</v>
      </c>
      <c r="I770" s="3" t="str">
        <f ca="1">IFERROR(__xludf.DUMMYFUNCTION("GOOGLETRANSLATE(C770,""auto"",""en"")"),"Wet / anti-lost reminder")</f>
        <v>Wet / anti-lost reminder</v>
      </c>
    </row>
    <row r="771" spans="1:9" ht="13" x14ac:dyDescent="0.15">
      <c r="A771" s="2" t="s">
        <v>681</v>
      </c>
      <c r="B771" s="2" t="s">
        <v>791</v>
      </c>
      <c r="C771" s="2" t="s">
        <v>798</v>
      </c>
      <c r="D771" s="3">
        <v>1404943</v>
      </c>
      <c r="E771" s="3">
        <v>23777</v>
      </c>
      <c r="F771" s="3">
        <v>137</v>
      </c>
      <c r="G771" s="3" t="str">
        <f ca="1">IFERROR(__xludf.DUMMYFUNCTION("GOOGLETRANSLATE(A771,""auto"",""en"")"),"Baby Products")</f>
        <v>Baby Products</v>
      </c>
      <c r="H771" s="3" t="str">
        <f ca="1">IFERROR(__xludf.DUMMYFUNCTION("GOOGLETRANSLATE(B771,""auto"",""en"")"),"Security")</f>
        <v>Security</v>
      </c>
      <c r="I771" s="3" t="str">
        <f ca="1">IFERROR(__xludf.DUMMYFUNCTION("GOOGLETRANSLATE(C771,""auto"",""en"")"),"Safety pins")</f>
        <v>Safety pins</v>
      </c>
    </row>
    <row r="772" spans="1:9" ht="13" x14ac:dyDescent="0.15">
      <c r="A772" s="2" t="s">
        <v>681</v>
      </c>
      <c r="B772" s="2" t="s">
        <v>791</v>
      </c>
      <c r="C772" s="2" t="s">
        <v>799</v>
      </c>
      <c r="D772" s="3">
        <v>1404943</v>
      </c>
      <c r="E772" s="3">
        <v>23777</v>
      </c>
      <c r="F772" s="3">
        <v>29</v>
      </c>
      <c r="G772" s="3" t="str">
        <f ca="1">IFERROR(__xludf.DUMMYFUNCTION("GOOGLETRANSLATE(A772,""auto"",""en"")"),"Baby Products")</f>
        <v>Baby Products</v>
      </c>
      <c r="H772" s="3" t="str">
        <f ca="1">IFERROR(__xludf.DUMMYFUNCTION("GOOGLETRANSLATE(B772,""auto"",""en"")"),"Security")</f>
        <v>Security</v>
      </c>
      <c r="I772" s="3" t="str">
        <f ca="1">IFERROR(__xludf.DUMMYFUNCTION("GOOGLETRANSLATE(C772,""auto"",""en"")"),"Gate Fence")</f>
        <v>Gate Fence</v>
      </c>
    </row>
    <row r="773" spans="1:9" ht="13" x14ac:dyDescent="0.15">
      <c r="A773" s="2" t="s">
        <v>681</v>
      </c>
      <c r="B773" s="2" t="s">
        <v>791</v>
      </c>
      <c r="C773" s="2" t="s">
        <v>800</v>
      </c>
      <c r="D773" s="3">
        <v>1404943</v>
      </c>
      <c r="E773" s="3">
        <v>23777</v>
      </c>
      <c r="F773" s="3">
        <v>20</v>
      </c>
      <c r="G773" s="3" t="str">
        <f ca="1">IFERROR(__xludf.DUMMYFUNCTION("GOOGLETRANSLATE(A773,""auto"",""en"")"),"Baby Products")</f>
        <v>Baby Products</v>
      </c>
      <c r="H773" s="3" t="str">
        <f ca="1">IFERROR(__xludf.DUMMYFUNCTION("GOOGLETRANSLATE(B773,""auto"",""en"")"),"Security")</f>
        <v>Security</v>
      </c>
      <c r="I773" s="3" t="str">
        <f ca="1">IFERROR(__xludf.DUMMYFUNCTION("GOOGLETRANSLATE(C773,""auto"",""en"")"),"Security card")</f>
        <v>Security card</v>
      </c>
    </row>
    <row r="774" spans="1:9" ht="13" x14ac:dyDescent="0.15">
      <c r="A774" s="2" t="s">
        <v>681</v>
      </c>
      <c r="B774" s="2" t="s">
        <v>801</v>
      </c>
      <c r="C774" s="2" t="s">
        <v>802</v>
      </c>
      <c r="D774" s="3">
        <v>1404943</v>
      </c>
      <c r="E774" s="3">
        <v>20462</v>
      </c>
      <c r="F774" s="3">
        <v>8145</v>
      </c>
      <c r="G774" s="3" t="str">
        <f ca="1">IFERROR(__xludf.DUMMYFUNCTION("GOOGLETRANSLATE(A774,""auto"",""en"")"),"Baby Products")</f>
        <v>Baby Products</v>
      </c>
      <c r="H774" s="3" t="str">
        <f ca="1">IFERROR(__xludf.DUMMYFUNCTION("GOOGLETRANSLATE(B774,""auto"",""en"")"),"Strap / seat / travel")</f>
        <v>Strap / seat / travel</v>
      </c>
      <c r="I774" s="3" t="str">
        <f ca="1">IFERROR(__xludf.DUMMYFUNCTION("GOOGLETRANSLATE(C774,""auto"",""en"")"),"Belt / waist stool")</f>
        <v>Belt / waist stool</v>
      </c>
    </row>
    <row r="775" spans="1:9" ht="13" x14ac:dyDescent="0.15">
      <c r="A775" s="2" t="s">
        <v>681</v>
      </c>
      <c r="B775" s="2" t="s">
        <v>801</v>
      </c>
      <c r="C775" s="2" t="s">
        <v>803</v>
      </c>
      <c r="D775" s="3">
        <v>1404943</v>
      </c>
      <c r="E775" s="3">
        <v>20462</v>
      </c>
      <c r="F775" s="3">
        <v>4165</v>
      </c>
      <c r="G775" s="3" t="str">
        <f ca="1">IFERROR(__xludf.DUMMYFUNCTION("GOOGLETRANSLATE(A775,""auto"",""en"")"),"Baby Products")</f>
        <v>Baby Products</v>
      </c>
      <c r="H775" s="3" t="str">
        <f ca="1">IFERROR(__xludf.DUMMYFUNCTION("GOOGLETRANSLATE(B775,""auto"",""en"")"),"Strap / seat / travel")</f>
        <v>Strap / seat / travel</v>
      </c>
      <c r="I775" s="3" t="str">
        <f ca="1">IFERROR(__xludf.DUMMYFUNCTION("GOOGLETRANSLATE(C775,""auto"",""en"")"),"Toddler")</f>
        <v>Toddler</v>
      </c>
    </row>
    <row r="776" spans="1:9" ht="13" x14ac:dyDescent="0.15">
      <c r="A776" s="2" t="s">
        <v>681</v>
      </c>
      <c r="B776" s="2" t="s">
        <v>801</v>
      </c>
      <c r="C776" s="2" t="s">
        <v>804</v>
      </c>
      <c r="D776" s="3">
        <v>1404943</v>
      </c>
      <c r="E776" s="3">
        <v>20462</v>
      </c>
      <c r="F776" s="3">
        <v>3770</v>
      </c>
      <c r="G776" s="3" t="str">
        <f ca="1">IFERROR(__xludf.DUMMYFUNCTION("GOOGLETRANSLATE(A776,""auto"",""en"")"),"Baby Products")</f>
        <v>Baby Products</v>
      </c>
      <c r="H776" s="3" t="str">
        <f ca="1">IFERROR(__xludf.DUMMYFUNCTION("GOOGLETRANSLATE(B776,""auto"",""en"")"),"Strap / seat / travel")</f>
        <v>Strap / seat / travel</v>
      </c>
      <c r="I776" s="3" t="str">
        <f ca="1">IFERROR(__xludf.DUMMYFUNCTION("GOOGLETRANSLATE(C776,""auto"",""en"")"),"Strap / backpack")</f>
        <v>Strap / backpack</v>
      </c>
    </row>
    <row r="777" spans="1:9" ht="13" x14ac:dyDescent="0.15">
      <c r="A777" s="2" t="s">
        <v>681</v>
      </c>
      <c r="B777" s="2" t="s">
        <v>801</v>
      </c>
      <c r="C777" s="2" t="s">
        <v>92</v>
      </c>
      <c r="D777" s="3">
        <v>1404943</v>
      </c>
      <c r="E777" s="3">
        <v>20462</v>
      </c>
      <c r="F777" s="3">
        <v>1745</v>
      </c>
      <c r="G777" s="3" t="str">
        <f ca="1">IFERROR(__xludf.DUMMYFUNCTION("GOOGLETRANSLATE(A777,""auto"",""en"")"),"Baby Products")</f>
        <v>Baby Products</v>
      </c>
      <c r="H777" s="3" t="str">
        <f ca="1">IFERROR(__xludf.DUMMYFUNCTION("GOOGLETRANSLATE(B777,""auto"",""en"")"),"Strap / seat / travel")</f>
        <v>Strap / seat / travel</v>
      </c>
      <c r="I777" s="3" t="str">
        <f ca="1">IFERROR(__xludf.DUMMYFUNCTION("GOOGLETRANSLATE(C777,""auto"",""en"")"),"other")</f>
        <v>other</v>
      </c>
    </row>
    <row r="778" spans="1:9" ht="13" x14ac:dyDescent="0.15">
      <c r="A778" s="2" t="s">
        <v>681</v>
      </c>
      <c r="B778" s="2" t="s">
        <v>801</v>
      </c>
      <c r="C778" s="2" t="s">
        <v>805</v>
      </c>
      <c r="D778" s="3">
        <v>1404943</v>
      </c>
      <c r="E778" s="3">
        <v>20462</v>
      </c>
      <c r="F778" s="3">
        <v>1529</v>
      </c>
      <c r="G778" s="3" t="str">
        <f ca="1">IFERROR(__xludf.DUMMYFUNCTION("GOOGLETRANSLATE(A778,""auto"",""en"")"),"Baby Products")</f>
        <v>Baby Products</v>
      </c>
      <c r="H778" s="3" t="str">
        <f ca="1">IFERROR(__xludf.DUMMYFUNCTION("GOOGLETRANSLATE(B778,""auto"",""en"")"),"Strap / seat / travel")</f>
        <v>Strap / seat / travel</v>
      </c>
      <c r="I778" s="3" t="str">
        <f ca="1">IFERROR(__xludf.DUMMYFUNCTION("GOOGLETRANSLATE(C778,""auto"",""en"")"),"umbrella")</f>
        <v>umbrella</v>
      </c>
    </row>
    <row r="779" spans="1:9" ht="13" x14ac:dyDescent="0.15">
      <c r="A779" s="2" t="s">
        <v>681</v>
      </c>
      <c r="B779" s="2" t="s">
        <v>801</v>
      </c>
      <c r="C779" s="2" t="s">
        <v>806</v>
      </c>
      <c r="D779" s="3">
        <v>1404943</v>
      </c>
      <c r="E779" s="3">
        <v>20462</v>
      </c>
      <c r="F779" s="3">
        <v>906</v>
      </c>
      <c r="G779" s="3" t="str">
        <f ca="1">IFERROR(__xludf.DUMMYFUNCTION("GOOGLETRANSLATE(A779,""auto"",""en"")"),"Baby Products")</f>
        <v>Baby Products</v>
      </c>
      <c r="H779" s="3" t="str">
        <f ca="1">IFERROR(__xludf.DUMMYFUNCTION("GOOGLETRANSLATE(B779,""auto"",""en"")"),"Strap / seat / travel")</f>
        <v>Strap / seat / travel</v>
      </c>
      <c r="I779" s="3" t="str">
        <f ca="1">IFERROR(__xludf.DUMMYFUNCTION("GOOGLETRANSLATE(C779,""auto"",""en"")"),"Safety seats")</f>
        <v>Safety seats</v>
      </c>
    </row>
    <row r="780" spans="1:9" ht="13" x14ac:dyDescent="0.15">
      <c r="A780" s="2" t="s">
        <v>681</v>
      </c>
      <c r="B780" s="2" t="s">
        <v>801</v>
      </c>
      <c r="C780" s="2" t="s">
        <v>807</v>
      </c>
      <c r="D780" s="3">
        <v>1404943</v>
      </c>
      <c r="E780" s="3">
        <v>20462</v>
      </c>
      <c r="F780" s="3">
        <v>141</v>
      </c>
      <c r="G780" s="3" t="str">
        <f ca="1">IFERROR(__xludf.DUMMYFUNCTION("GOOGLETRANSLATE(A780,""auto"",""en"")"),"Baby Products")</f>
        <v>Baby Products</v>
      </c>
      <c r="H780" s="3" t="str">
        <f ca="1">IFERROR(__xludf.DUMMYFUNCTION("GOOGLETRANSLATE(B780,""auto"",""en"")"),"Strap / seat / travel")</f>
        <v>Strap / seat / travel</v>
      </c>
      <c r="I780" s="3" t="str">
        <f ca="1">IFERROR(__xludf.DUMMYFUNCTION("GOOGLETRANSLATE(C780,""auto"",""en"")"),"Covers")</f>
        <v>Covers</v>
      </c>
    </row>
    <row r="781" spans="1:9" ht="13" x14ac:dyDescent="0.15">
      <c r="A781" s="2" t="s">
        <v>681</v>
      </c>
      <c r="B781" s="2" t="s">
        <v>801</v>
      </c>
      <c r="C781" s="2" t="s">
        <v>808</v>
      </c>
      <c r="D781" s="3">
        <v>1404943</v>
      </c>
      <c r="E781" s="3">
        <v>20462</v>
      </c>
      <c r="F781" s="3">
        <v>45</v>
      </c>
      <c r="G781" s="3" t="str">
        <f ca="1">IFERROR(__xludf.DUMMYFUNCTION("GOOGLETRANSLATE(A781,""auto"",""en"")"),"Baby Products")</f>
        <v>Baby Products</v>
      </c>
      <c r="H781" s="3" t="str">
        <f ca="1">IFERROR(__xludf.DUMMYFUNCTION("GOOGLETRANSLATE(B781,""auto"",""en"")"),"Strap / seat / travel")</f>
        <v>Strap / seat / travel</v>
      </c>
      <c r="I781" s="3" t="str">
        <f ca="1">IFERROR(__xludf.DUMMYFUNCTION("GOOGLETRANSLATE(C781,""auto"",""en"")"),"raincoat")</f>
        <v>raincoat</v>
      </c>
    </row>
    <row r="782" spans="1:9" ht="13" x14ac:dyDescent="0.15">
      <c r="A782" s="2" t="s">
        <v>681</v>
      </c>
      <c r="B782" s="2" t="s">
        <v>801</v>
      </c>
      <c r="C782" s="2" t="s">
        <v>809</v>
      </c>
      <c r="D782" s="3">
        <v>1404943</v>
      </c>
      <c r="E782" s="3">
        <v>20462</v>
      </c>
      <c r="F782" s="3">
        <v>16</v>
      </c>
      <c r="G782" s="3" t="str">
        <f ca="1">IFERROR(__xludf.DUMMYFUNCTION("GOOGLETRANSLATE(A782,""auto"",""en"")"),"Baby Products")</f>
        <v>Baby Products</v>
      </c>
      <c r="H782" s="3" t="str">
        <f ca="1">IFERROR(__xludf.DUMMYFUNCTION("GOOGLETRANSLATE(B782,""auto"",""en"")"),"Strap / seat / travel")</f>
        <v>Strap / seat / travel</v>
      </c>
      <c r="I782" s="3" t="str">
        <f ca="1">IFERROR(__xludf.DUMMYFUNCTION("GOOGLETRANSLATE(C782,""auto"",""en"")"),"Parenting Sling")</f>
        <v>Parenting Sling</v>
      </c>
    </row>
    <row r="783" spans="1:9" ht="13" x14ac:dyDescent="0.15">
      <c r="A783" s="2" t="s">
        <v>681</v>
      </c>
      <c r="B783" s="2" t="s">
        <v>810</v>
      </c>
      <c r="C783" s="2" t="s">
        <v>811</v>
      </c>
      <c r="D783" s="3">
        <v>1404943</v>
      </c>
      <c r="E783" s="3">
        <v>7119</v>
      </c>
      <c r="F783" s="3">
        <v>5147</v>
      </c>
      <c r="G783" s="3" t="str">
        <f ca="1">IFERROR(__xludf.DUMMYFUNCTION("GOOGLETRANSLATE(A783,""auto"",""en"")"),"Baby Products")</f>
        <v>Baby Products</v>
      </c>
      <c r="H783" s="3" t="str">
        <f ca="1">IFERROR(__xludf.DUMMYFUNCTION("GOOGLETRANSLATE(B783,""auto"",""en"")"),"Crib / cradle / chair")</f>
        <v>Crib / cradle / chair</v>
      </c>
      <c r="I783" s="3" t="str">
        <f ca="1">IFERROR(__xludf.DUMMYFUNCTION("GOOGLETRANSLATE(C783,""auto"",""en"")"),"Chair")</f>
        <v>Chair</v>
      </c>
    </row>
    <row r="784" spans="1:9" ht="13" x14ac:dyDescent="0.15">
      <c r="A784" s="2" t="s">
        <v>681</v>
      </c>
      <c r="B784" s="2" t="s">
        <v>810</v>
      </c>
      <c r="C784" s="2" t="s">
        <v>812</v>
      </c>
      <c r="D784" s="3">
        <v>1404943</v>
      </c>
      <c r="E784" s="3">
        <v>7119</v>
      </c>
      <c r="F784" s="3">
        <v>1704</v>
      </c>
      <c r="G784" s="3" t="str">
        <f ca="1">IFERROR(__xludf.DUMMYFUNCTION("GOOGLETRANSLATE(A784,""auto"",""en"")"),"Baby Products")</f>
        <v>Baby Products</v>
      </c>
      <c r="H784" s="3" t="str">
        <f ca="1">IFERROR(__xludf.DUMMYFUNCTION("GOOGLETRANSLATE(B784,""auto"",""en"")"),"Crib / cradle / chair")</f>
        <v>Crib / cradle / chair</v>
      </c>
      <c r="I784" s="3" t="str">
        <f ca="1">IFERROR(__xludf.DUMMYFUNCTION("GOOGLETRANSLATE(C784,""auto"",""en"")"),"Crib / child bed")</f>
        <v>Crib / child bed</v>
      </c>
    </row>
    <row r="785" spans="1:9" ht="13" x14ac:dyDescent="0.15">
      <c r="A785" s="2" t="s">
        <v>681</v>
      </c>
      <c r="B785" s="2" t="s">
        <v>810</v>
      </c>
      <c r="C785" s="2" t="s">
        <v>813</v>
      </c>
      <c r="D785" s="3">
        <v>1404943</v>
      </c>
      <c r="E785" s="3">
        <v>7119</v>
      </c>
      <c r="F785" s="3">
        <v>208</v>
      </c>
      <c r="G785" s="3" t="str">
        <f ca="1">IFERROR(__xludf.DUMMYFUNCTION("GOOGLETRANSLATE(A785,""auto"",""en"")"),"Baby Products")</f>
        <v>Baby Products</v>
      </c>
      <c r="H785" s="3" t="str">
        <f ca="1">IFERROR(__xludf.DUMMYFUNCTION("GOOGLETRANSLATE(B785,""auto"",""en"")"),"Crib / cradle / chair")</f>
        <v>Crib / cradle / chair</v>
      </c>
      <c r="I785" s="3" t="str">
        <f ca="1">IFERROR(__xludf.DUMMYFUNCTION("GOOGLETRANSLATE(C785,""auto"",""en"")"),"Rocking")</f>
        <v>Rocking</v>
      </c>
    </row>
    <row r="786" spans="1:9" ht="13" x14ac:dyDescent="0.15">
      <c r="A786" s="2" t="s">
        <v>681</v>
      </c>
      <c r="B786" s="2" t="s">
        <v>810</v>
      </c>
      <c r="C786" s="2" t="s">
        <v>814</v>
      </c>
      <c r="D786" s="3">
        <v>1404943</v>
      </c>
      <c r="E786" s="3">
        <v>7119</v>
      </c>
      <c r="F786" s="3">
        <v>60</v>
      </c>
      <c r="G786" s="3" t="str">
        <f ca="1">IFERROR(__xludf.DUMMYFUNCTION("GOOGLETRANSLATE(A786,""auto"",""en"")"),"Baby Products")</f>
        <v>Baby Products</v>
      </c>
      <c r="H786" s="3" t="str">
        <f ca="1">IFERROR(__xludf.DUMMYFUNCTION("GOOGLETRANSLATE(B786,""auto"",""en"")"),"Crib / cradle / chair")</f>
        <v>Crib / cradle / chair</v>
      </c>
      <c r="I786" s="3" t="str">
        <f ca="1">IFERROR(__xludf.DUMMYFUNCTION("GOOGLETRANSLATE(C786,""auto"",""en"")"),"cradle")</f>
        <v>cradle</v>
      </c>
    </row>
    <row r="787" spans="1:9" ht="13" x14ac:dyDescent="0.15">
      <c r="A787" s="2" t="s">
        <v>681</v>
      </c>
      <c r="B787" s="2" t="s">
        <v>815</v>
      </c>
      <c r="C787" s="2" t="s">
        <v>816</v>
      </c>
      <c r="D787" s="3">
        <v>1404943</v>
      </c>
      <c r="E787" s="3">
        <v>3093</v>
      </c>
      <c r="F787" s="3">
        <v>760</v>
      </c>
      <c r="G787" s="3" t="str">
        <f ca="1">IFERROR(__xludf.DUMMYFUNCTION("GOOGLETRANSLATE(A787,""auto"",""en"")"),"Baby Products")</f>
        <v>Baby Products</v>
      </c>
      <c r="H787" s="3" t="str">
        <f ca="1">IFERROR(__xludf.DUMMYFUNCTION("GOOGLETRANSLATE(B787,""auto"",""en"")"),"Disinfection / Warm milk / small appliances")</f>
        <v>Disinfection / Warm milk / small appliances</v>
      </c>
      <c r="I787" s="3" t="str">
        <f ca="1">IFERROR(__xludf.DUMMYFUNCTION("GOOGLETRANSLATE(C787,""auto"",""en"")"),"Tune milk")</f>
        <v>Tune milk</v>
      </c>
    </row>
    <row r="788" spans="1:9" ht="13" x14ac:dyDescent="0.15">
      <c r="A788" s="2" t="s">
        <v>681</v>
      </c>
      <c r="B788" s="2" t="s">
        <v>815</v>
      </c>
      <c r="C788" s="2" t="s">
        <v>817</v>
      </c>
      <c r="D788" s="3">
        <v>1404943</v>
      </c>
      <c r="E788" s="3">
        <v>3093</v>
      </c>
      <c r="F788" s="3">
        <v>553</v>
      </c>
      <c r="G788" s="3" t="str">
        <f ca="1">IFERROR(__xludf.DUMMYFUNCTION("GOOGLETRANSLATE(A788,""auto"",""en"")"),"Baby Products")</f>
        <v>Baby Products</v>
      </c>
      <c r="H788" s="3" t="str">
        <f ca="1">IFERROR(__xludf.DUMMYFUNCTION("GOOGLETRANSLATE(B788,""auto"",""en"")"),"Disinfection / Warm milk / small appliances")</f>
        <v>Disinfection / Warm milk / small appliances</v>
      </c>
      <c r="I788" s="3" t="str">
        <f ca="1">IFERROR(__xludf.DUMMYFUNCTION("GOOGLETRANSLATE(C788,""auto"",""en"")"),"Sterilizer")</f>
        <v>Sterilizer</v>
      </c>
    </row>
    <row r="789" spans="1:9" ht="13" x14ac:dyDescent="0.15">
      <c r="A789" s="2" t="s">
        <v>681</v>
      </c>
      <c r="B789" s="2" t="s">
        <v>815</v>
      </c>
      <c r="C789" s="2" t="s">
        <v>818</v>
      </c>
      <c r="D789" s="3">
        <v>1404943</v>
      </c>
      <c r="E789" s="3">
        <v>3093</v>
      </c>
      <c r="F789" s="3">
        <v>504</v>
      </c>
      <c r="G789" s="3" t="str">
        <f ca="1">IFERROR(__xludf.DUMMYFUNCTION("GOOGLETRANSLATE(A789,""auto"",""en"")"),"Baby Products")</f>
        <v>Baby Products</v>
      </c>
      <c r="H789" s="3" t="str">
        <f ca="1">IFERROR(__xludf.DUMMYFUNCTION("GOOGLETRANSLATE(B789,""auto"",""en"")"),"Disinfection / Warm milk / small appliances")</f>
        <v>Disinfection / Warm milk / small appliances</v>
      </c>
      <c r="I789" s="3" t="str">
        <f ca="1">IFERROR(__xludf.DUMMYFUNCTION("GOOGLETRANSLATE(C789,""auto"",""en"")"),"Other appliances")</f>
        <v>Other appliances</v>
      </c>
    </row>
    <row r="790" spans="1:9" ht="13" x14ac:dyDescent="0.15">
      <c r="A790" s="2" t="s">
        <v>681</v>
      </c>
      <c r="B790" s="2" t="s">
        <v>815</v>
      </c>
      <c r="C790" s="2" t="s">
        <v>819</v>
      </c>
      <c r="D790" s="3">
        <v>1404943</v>
      </c>
      <c r="E790" s="3">
        <v>3093</v>
      </c>
      <c r="F790" s="3">
        <v>468</v>
      </c>
      <c r="G790" s="3" t="str">
        <f ca="1">IFERROR(__xludf.DUMMYFUNCTION("GOOGLETRANSLATE(A790,""auto"",""en"")"),"Baby Products")</f>
        <v>Baby Products</v>
      </c>
      <c r="H790" s="3" t="str">
        <f ca="1">IFERROR(__xludf.DUMMYFUNCTION("GOOGLETRANSLATE(B790,""auto"",""en"")"),"Disinfection / Warm milk / small appliances")</f>
        <v>Disinfection / Warm milk / small appliances</v>
      </c>
      <c r="I790" s="3" t="str">
        <f ca="1">IFERROR(__xludf.DUMMYFUNCTION("GOOGLETRANSLATE(C790,""auto"",""en"")"),"Warm milk")</f>
        <v>Warm milk</v>
      </c>
    </row>
    <row r="791" spans="1:9" ht="13" x14ac:dyDescent="0.15">
      <c r="A791" s="2" t="s">
        <v>681</v>
      </c>
      <c r="B791" s="2" t="s">
        <v>815</v>
      </c>
      <c r="C791" s="2" t="s">
        <v>820</v>
      </c>
      <c r="D791" s="3">
        <v>1404943</v>
      </c>
      <c r="E791" s="3">
        <v>3093</v>
      </c>
      <c r="F791" s="3">
        <v>415</v>
      </c>
      <c r="G791" s="3" t="str">
        <f ca="1">IFERROR(__xludf.DUMMYFUNCTION("GOOGLETRANSLATE(A791,""auto"",""en"")"),"Baby Products")</f>
        <v>Baby Products</v>
      </c>
      <c r="H791" s="3" t="str">
        <f ca="1">IFERROR(__xludf.DUMMYFUNCTION("GOOGLETRANSLATE(B791,""auto"",""en"")"),"Disinfection / Warm milk / small appliances")</f>
        <v>Disinfection / Warm milk / small appliances</v>
      </c>
      <c r="I791" s="3" t="str">
        <f ca="1">IFERROR(__xludf.DUMMYFUNCTION("GOOGLETRANSLATE(C791,""auto"",""en"")"),"Pot / pot")</f>
        <v>Pot / pot</v>
      </c>
    </row>
    <row r="792" spans="1:9" ht="13" x14ac:dyDescent="0.15">
      <c r="A792" s="2" t="s">
        <v>681</v>
      </c>
      <c r="B792" s="2" t="s">
        <v>815</v>
      </c>
      <c r="C792" s="2" t="s">
        <v>821</v>
      </c>
      <c r="D792" s="3">
        <v>1404943</v>
      </c>
      <c r="E792" s="3">
        <v>3093</v>
      </c>
      <c r="F792" s="3">
        <v>393</v>
      </c>
      <c r="G792" s="3" t="str">
        <f ca="1">IFERROR(__xludf.DUMMYFUNCTION("GOOGLETRANSLATE(A792,""auto"",""en"")"),"Baby Products")</f>
        <v>Baby Products</v>
      </c>
      <c r="H792" s="3" t="str">
        <f ca="1">IFERROR(__xludf.DUMMYFUNCTION("GOOGLETRANSLATE(B792,""auto"",""en"")"),"Disinfection / Warm milk / small appliances")</f>
        <v>Disinfection / Warm milk / small appliances</v>
      </c>
      <c r="I792" s="3" t="str">
        <f ca="1">IFERROR(__xludf.DUMMYFUNCTION("GOOGLETRANSLATE(C792,""auto"",""en"")"),"Stirrer")</f>
        <v>Stirrer</v>
      </c>
    </row>
    <row r="793" spans="1:9" ht="13" x14ac:dyDescent="0.15">
      <c r="A793" s="2" t="s">
        <v>681</v>
      </c>
      <c r="B793" s="2" t="s">
        <v>822</v>
      </c>
      <c r="C793" s="2" t="s">
        <v>823</v>
      </c>
      <c r="D793" s="3">
        <v>1404943</v>
      </c>
      <c r="E793" s="3">
        <v>1638</v>
      </c>
      <c r="F793" s="3">
        <v>881</v>
      </c>
      <c r="G793" s="3" t="str">
        <f ca="1">IFERROR(__xludf.DUMMYFUNCTION("GOOGLETRANSLATE(A793,""auto"",""en"")"),"Baby Products")</f>
        <v>Baby Products</v>
      </c>
      <c r="H793" s="3" t="str">
        <f ca="1">IFERROR(__xludf.DUMMYFUNCTION("GOOGLETRANSLATE(B793,""auto"",""en"")"),"Children's Room / chairs / furniture")</f>
        <v>Children's Room / chairs / furniture</v>
      </c>
      <c r="I793" s="3" t="str">
        <f ca="1">IFERROR(__xludf.DUMMYFUNCTION("GOOGLETRANSLATE(C793,""auto"",""en"")"),"Baby clothes hanger")</f>
        <v>Baby clothes hanger</v>
      </c>
    </row>
    <row r="794" spans="1:9" ht="13" x14ac:dyDescent="0.15">
      <c r="A794" s="2" t="s">
        <v>681</v>
      </c>
      <c r="B794" s="2" t="s">
        <v>822</v>
      </c>
      <c r="C794" s="2" t="s">
        <v>824</v>
      </c>
      <c r="D794" s="3">
        <v>1404943</v>
      </c>
      <c r="E794" s="3">
        <v>1638</v>
      </c>
      <c r="F794" s="3">
        <v>540</v>
      </c>
      <c r="G794" s="3" t="str">
        <f ca="1">IFERROR(__xludf.DUMMYFUNCTION("GOOGLETRANSLATE(A794,""auto"",""en"")"),"Baby Products")</f>
        <v>Baby Products</v>
      </c>
      <c r="H794" s="3" t="str">
        <f ca="1">IFERROR(__xludf.DUMMYFUNCTION("GOOGLETRANSLATE(B794,""auto"",""en"")"),"Children's Room / chairs / furniture")</f>
        <v>Children's Room / chairs / furniture</v>
      </c>
      <c r="I794" s="3" t="str">
        <f ca="1">IFERROR(__xludf.DUMMYFUNCTION("GOOGLETRANSLATE(C794,""auto"",""en"")"),"Children's chairs")</f>
        <v>Children's chairs</v>
      </c>
    </row>
    <row r="795" spans="1:9" ht="13" x14ac:dyDescent="0.15">
      <c r="A795" s="2" t="s">
        <v>681</v>
      </c>
      <c r="B795" s="2" t="s">
        <v>822</v>
      </c>
      <c r="C795" s="2" t="s">
        <v>825</v>
      </c>
      <c r="D795" s="3">
        <v>1404943</v>
      </c>
      <c r="E795" s="3">
        <v>1638</v>
      </c>
      <c r="F795" s="3">
        <v>149</v>
      </c>
      <c r="G795" s="3" t="str">
        <f ca="1">IFERROR(__xludf.DUMMYFUNCTION("GOOGLETRANSLATE(A795,""auto"",""en"")"),"Baby Products")</f>
        <v>Baby Products</v>
      </c>
      <c r="H795" s="3" t="str">
        <f ca="1">IFERROR(__xludf.DUMMYFUNCTION("GOOGLETRANSLATE(B795,""auto"",""en"")"),"Children's Room / chairs / furniture")</f>
        <v>Children's Room / chairs / furniture</v>
      </c>
      <c r="I795" s="3" t="str">
        <f ca="1">IFERROR(__xludf.DUMMYFUNCTION("GOOGLETRANSLATE(C795,""auto"",""en"")"),"Storage rack / shelf storage")</f>
        <v>Storage rack / shelf storage</v>
      </c>
    </row>
    <row r="796" spans="1:9" ht="13" x14ac:dyDescent="0.15">
      <c r="A796" s="2" t="s">
        <v>681</v>
      </c>
      <c r="B796" s="2" t="s">
        <v>822</v>
      </c>
      <c r="C796" s="2" t="s">
        <v>826</v>
      </c>
      <c r="D796" s="3">
        <v>1404943</v>
      </c>
      <c r="E796" s="3">
        <v>1638</v>
      </c>
      <c r="F796" s="3">
        <v>51</v>
      </c>
      <c r="G796" s="3" t="str">
        <f ca="1">IFERROR(__xludf.DUMMYFUNCTION("GOOGLETRANSLATE(A796,""auto"",""en"")"),"Baby Products")</f>
        <v>Baby Products</v>
      </c>
      <c r="H796" s="3" t="str">
        <f ca="1">IFERROR(__xludf.DUMMYFUNCTION("GOOGLETRANSLATE(B796,""auto"",""en"")"),"Children's Room / chairs / furniture")</f>
        <v>Children's Room / chairs / furniture</v>
      </c>
      <c r="I796" s="3" t="str">
        <f ca="1">IFERROR(__xludf.DUMMYFUNCTION("GOOGLETRANSLATE(C796,""auto"",""en"")"),"Complete tables and chairs")</f>
        <v>Complete tables and chairs</v>
      </c>
    </row>
    <row r="797" spans="1:9" ht="13" x14ac:dyDescent="0.15">
      <c r="A797" s="2" t="s">
        <v>681</v>
      </c>
      <c r="B797" s="2" t="s">
        <v>822</v>
      </c>
      <c r="C797" s="2" t="s">
        <v>827</v>
      </c>
      <c r="D797" s="3">
        <v>1404943</v>
      </c>
      <c r="E797" s="3">
        <v>1638</v>
      </c>
      <c r="F797" s="3">
        <v>13</v>
      </c>
      <c r="G797" s="3" t="str">
        <f ca="1">IFERROR(__xludf.DUMMYFUNCTION("GOOGLETRANSLATE(A797,""auto"",""en"")"),"Baby Products")</f>
        <v>Baby Products</v>
      </c>
      <c r="H797" s="3" t="str">
        <f ca="1">IFERROR(__xludf.DUMMYFUNCTION("GOOGLETRANSLATE(B797,""auto"",""en"")"),"Children's Room / chairs / furniture")</f>
        <v>Children's Room / chairs / furniture</v>
      </c>
      <c r="I797" s="3" t="str">
        <f ca="1">IFERROR(__xludf.DUMMYFUNCTION("GOOGLETRANSLATE(C797,""auto"",""en"")"),"Children's sofa")</f>
        <v>Children's sofa</v>
      </c>
    </row>
    <row r="798" spans="1:9" ht="13" x14ac:dyDescent="0.15">
      <c r="A798" s="2" t="s">
        <v>681</v>
      </c>
      <c r="B798" s="2" t="s">
        <v>822</v>
      </c>
      <c r="C798" s="2" t="s">
        <v>828</v>
      </c>
      <c r="D798" s="3">
        <v>1404943</v>
      </c>
      <c r="E798" s="3">
        <v>1638</v>
      </c>
      <c r="F798" s="3">
        <v>3</v>
      </c>
      <c r="G798" s="3" t="str">
        <f ca="1">IFERROR(__xludf.DUMMYFUNCTION("GOOGLETRANSLATE(A798,""auto"",""en"")"),"Baby Products")</f>
        <v>Baby Products</v>
      </c>
      <c r="H798" s="3" t="str">
        <f ca="1">IFERROR(__xludf.DUMMYFUNCTION("GOOGLETRANSLATE(B798,""auto"",""en"")"),"Children's Room / chairs / furniture")</f>
        <v>Children's Room / chairs / furniture</v>
      </c>
      <c r="I798" s="3" t="str">
        <f ca="1">IFERROR(__xludf.DUMMYFUNCTION("GOOGLETRANSLATE(C798,""auto"",""en"")"),"Children's table")</f>
        <v>Children's table</v>
      </c>
    </row>
    <row r="799" spans="1:9" ht="13" x14ac:dyDescent="0.15">
      <c r="A799" s="2" t="s">
        <v>681</v>
      </c>
      <c r="B799" s="2" t="s">
        <v>822</v>
      </c>
      <c r="C799" s="2" t="s">
        <v>829</v>
      </c>
      <c r="D799" s="3">
        <v>1404943</v>
      </c>
      <c r="E799" s="3">
        <v>1638</v>
      </c>
      <c r="F799" s="3">
        <v>1</v>
      </c>
      <c r="G799" s="3" t="str">
        <f ca="1">IFERROR(__xludf.DUMMYFUNCTION("GOOGLETRANSLATE(A799,""auto"",""en"")"),"Baby Products")</f>
        <v>Baby Products</v>
      </c>
      <c r="H799" s="3" t="str">
        <f ca="1">IFERROR(__xludf.DUMMYFUNCTION("GOOGLETRANSLATE(B799,""auto"",""en"")"),"Children's Room / chairs / furniture")</f>
        <v>Children's Room / chairs / furniture</v>
      </c>
      <c r="I799" s="3" t="str">
        <f ca="1">IFERROR(__xludf.DUMMYFUNCTION("GOOGLETRANSLATE(C799,""auto"",""en"")"),"Children's room")</f>
        <v>Children's room</v>
      </c>
    </row>
    <row r="800" spans="1:9" ht="13" x14ac:dyDescent="0.15">
      <c r="A800" s="2" t="s">
        <v>681</v>
      </c>
      <c r="B800" s="2" t="s">
        <v>830</v>
      </c>
      <c r="C800" s="2" t="s">
        <v>830</v>
      </c>
      <c r="D800" s="3">
        <v>1404943</v>
      </c>
      <c r="E800" s="3">
        <v>1612</v>
      </c>
      <c r="F800" s="3">
        <v>1612</v>
      </c>
      <c r="G800" s="3" t="str">
        <f ca="1">IFERROR(__xludf.DUMMYFUNCTION("GOOGLETRANSLATE(A800,""auto"",""en"")"),"Baby Products")</f>
        <v>Baby Products</v>
      </c>
      <c r="H800" s="3" t="str">
        <f ca="1">IFERROR(__xludf.DUMMYFUNCTION("GOOGLETRANSLATE(B800,""auto"",""en"")"),"Other Baby Products")</f>
        <v>Other Baby Products</v>
      </c>
      <c r="I800" s="3" t="str">
        <f ca="1">IFERROR(__xludf.DUMMYFUNCTION("GOOGLETRANSLATE(C800,""auto"",""en"")"),"Other Baby Products")</f>
        <v>Other Baby Products</v>
      </c>
    </row>
    <row r="801" spans="1:9" ht="13" x14ac:dyDescent="0.15">
      <c r="A801" s="2" t="s">
        <v>681</v>
      </c>
      <c r="B801" s="2" t="s">
        <v>831</v>
      </c>
      <c r="C801" s="2" t="s">
        <v>832</v>
      </c>
      <c r="D801" s="3">
        <v>1404943</v>
      </c>
      <c r="E801" s="3">
        <v>712</v>
      </c>
      <c r="F801" s="3">
        <v>513</v>
      </c>
      <c r="G801" s="3" t="str">
        <f ca="1">IFERROR(__xludf.DUMMYFUNCTION("GOOGLETRANSLATE(A801,""auto"",""en"")"),"Baby Products")</f>
        <v>Baby Products</v>
      </c>
      <c r="H801" s="3" t="str">
        <f ca="1">IFERROR(__xludf.DUMMYFUNCTION("GOOGLETRANSLATE(B801,""auto"",""en"")"),"Baby storage")</f>
        <v>Baby storage</v>
      </c>
      <c r="I801" s="3" t="str">
        <f ca="1">IFERROR(__xludf.DUMMYFUNCTION("GOOGLETRANSLATE(C801,""auto"",""en"")"),"Children's clothes hanger")</f>
        <v>Children's clothes hanger</v>
      </c>
    </row>
    <row r="802" spans="1:9" ht="13" x14ac:dyDescent="0.15">
      <c r="A802" s="2" t="s">
        <v>681</v>
      </c>
      <c r="B802" s="2" t="s">
        <v>831</v>
      </c>
      <c r="C802" s="2" t="s">
        <v>833</v>
      </c>
      <c r="D802" s="3">
        <v>1404943</v>
      </c>
      <c r="E802" s="3">
        <v>712</v>
      </c>
      <c r="F802" s="3">
        <v>96</v>
      </c>
      <c r="G802" s="3" t="str">
        <f ca="1">IFERROR(__xludf.DUMMYFUNCTION("GOOGLETRANSLATE(A802,""auto"",""en"")"),"Baby Products")</f>
        <v>Baby Products</v>
      </c>
      <c r="H802" s="3" t="str">
        <f ca="1">IFERROR(__xludf.DUMMYFUNCTION("GOOGLETRANSLATE(B802,""auto"",""en"")"),"Baby storage")</f>
        <v>Baby storage</v>
      </c>
      <c r="I802" s="3" t="str">
        <f ca="1">IFERROR(__xludf.DUMMYFUNCTION("GOOGLETRANSLATE(C802,""auto"",""en"")"),"Storage box / bag / bag")</f>
        <v>Storage box / bag / bag</v>
      </c>
    </row>
    <row r="803" spans="1:9" ht="13" x14ac:dyDescent="0.15">
      <c r="A803" s="2" t="s">
        <v>681</v>
      </c>
      <c r="B803" s="2" t="s">
        <v>831</v>
      </c>
      <c r="C803" s="2" t="s">
        <v>834</v>
      </c>
      <c r="D803" s="3">
        <v>1404943</v>
      </c>
      <c r="E803" s="3">
        <v>712</v>
      </c>
      <c r="F803" s="3">
        <v>73</v>
      </c>
      <c r="G803" s="3" t="str">
        <f ca="1">IFERROR(__xludf.DUMMYFUNCTION("GOOGLETRANSLATE(A803,""auto"",""en"")"),"Baby Products")</f>
        <v>Baby Products</v>
      </c>
      <c r="H803" s="3" t="str">
        <f ca="1">IFERROR(__xludf.DUMMYFUNCTION("GOOGLETRANSLATE(B803,""auto"",""en"")"),"Baby storage")</f>
        <v>Baby storage</v>
      </c>
      <c r="I803" s="3" t="str">
        <f ca="1">IFERROR(__xludf.DUMMYFUNCTION("GOOGLETRANSLATE(C803,""auto"",""en"")"),"Storage cabinet / wardrobe")</f>
        <v>Storage cabinet / wardrobe</v>
      </c>
    </row>
    <row r="804" spans="1:9" ht="13" x14ac:dyDescent="0.15">
      <c r="A804" s="2" t="s">
        <v>681</v>
      </c>
      <c r="B804" s="2" t="s">
        <v>831</v>
      </c>
      <c r="C804" s="2" t="s">
        <v>92</v>
      </c>
      <c r="D804" s="3">
        <v>1404943</v>
      </c>
      <c r="E804" s="3">
        <v>712</v>
      </c>
      <c r="F804" s="3">
        <v>30</v>
      </c>
      <c r="G804" s="3" t="str">
        <f ca="1">IFERROR(__xludf.DUMMYFUNCTION("GOOGLETRANSLATE(A804,""auto"",""en"")"),"Baby Products")</f>
        <v>Baby Products</v>
      </c>
      <c r="H804" s="3" t="str">
        <f ca="1">IFERROR(__xludf.DUMMYFUNCTION("GOOGLETRANSLATE(B804,""auto"",""en"")"),"Baby storage")</f>
        <v>Baby storage</v>
      </c>
      <c r="I804" s="3" t="str">
        <f ca="1">IFERROR(__xludf.DUMMYFUNCTION("GOOGLETRANSLATE(C804,""auto"",""en"")"),"other")</f>
        <v>other</v>
      </c>
    </row>
    <row r="805" spans="1:9" ht="13" x14ac:dyDescent="0.15">
      <c r="A805" s="2" t="s">
        <v>681</v>
      </c>
      <c r="B805" s="2" t="s">
        <v>835</v>
      </c>
      <c r="C805" s="2" t="s">
        <v>835</v>
      </c>
      <c r="D805" s="3">
        <v>1404943</v>
      </c>
      <c r="E805" s="3">
        <v>344</v>
      </c>
      <c r="F805" s="3">
        <v>344</v>
      </c>
      <c r="G805" s="3" t="str">
        <f ca="1">IFERROR(__xludf.DUMMYFUNCTION("GOOGLETRANSLATE(A805,""auto"",""en"")"),"Baby Products")</f>
        <v>Baby Products</v>
      </c>
      <c r="H805" s="3" t="str">
        <f ca="1">IFERROR(__xludf.DUMMYFUNCTION("GOOGLETRANSLATE(B805,""auto"",""en"")"),"Pacifier / pacifier related")</f>
        <v>Pacifier / pacifier related</v>
      </c>
      <c r="I805" s="3" t="str">
        <f ca="1">IFERROR(__xludf.DUMMYFUNCTION("GOOGLETRANSLATE(C805,""auto"",""en"")"),"Pacifier / pacifier related")</f>
        <v>Pacifier / pacifier related</v>
      </c>
    </row>
    <row r="806" spans="1:9" ht="13" x14ac:dyDescent="0.15">
      <c r="A806" s="2" t="s">
        <v>681</v>
      </c>
      <c r="B806" s="2" t="s">
        <v>836</v>
      </c>
      <c r="C806" s="2" t="s">
        <v>836</v>
      </c>
      <c r="D806" s="3">
        <v>1404943</v>
      </c>
      <c r="E806" s="3">
        <v>27</v>
      </c>
      <c r="F806" s="3">
        <v>27</v>
      </c>
      <c r="G806" s="3" t="str">
        <f ca="1">IFERROR(__xludf.DUMMYFUNCTION("GOOGLETRANSLATE(A806,""auto"",""en"")"),"Baby Products")</f>
        <v>Baby Products</v>
      </c>
      <c r="H806" s="3" t="str">
        <f ca="1">IFERROR(__xludf.DUMMYFUNCTION("GOOGLETRANSLATE(B806,""auto"",""en"")"),"Cups / cutlery / Accessories")</f>
        <v>Cups / cutlery / Accessories</v>
      </c>
      <c r="I806" s="3" t="str">
        <f ca="1">IFERROR(__xludf.DUMMYFUNCTION("GOOGLETRANSLATE(C806,""auto"",""en"")"),"Cups / cutlery / Accessories")</f>
        <v>Cups / cutlery / Accessories</v>
      </c>
    </row>
    <row r="807" spans="1:9" ht="13" x14ac:dyDescent="0.15">
      <c r="A807" s="2" t="s">
        <v>681</v>
      </c>
      <c r="B807" s="2" t="s">
        <v>10</v>
      </c>
      <c r="C807" s="2" t="s">
        <v>92</v>
      </c>
      <c r="D807" s="3">
        <v>1404943</v>
      </c>
      <c r="E807" s="3">
        <v>17</v>
      </c>
      <c r="F807" s="3">
        <v>12</v>
      </c>
      <c r="G807" s="3" t="str">
        <f ca="1">IFERROR(__xludf.DUMMYFUNCTION("GOOGLETRANSLATE(A807,""auto"",""en"")"),"Baby Products")</f>
        <v>Baby Products</v>
      </c>
      <c r="H807" s="3" t="str">
        <f ca="1">IFERROR(__xludf.DUMMYFUNCTION("GOOGLETRANSLATE(B807,""auto"",""en"")"),"Daily")</f>
        <v>Daily</v>
      </c>
      <c r="I807" s="3" t="str">
        <f ca="1">IFERROR(__xludf.DUMMYFUNCTION("GOOGLETRANSLATE(C807,""auto"",""en"")"),"other")</f>
        <v>other</v>
      </c>
    </row>
    <row r="808" spans="1:9" ht="13" x14ac:dyDescent="0.15">
      <c r="A808" s="2" t="s">
        <v>681</v>
      </c>
      <c r="B808" s="2" t="s">
        <v>10</v>
      </c>
      <c r="C808" s="2" t="s">
        <v>837</v>
      </c>
      <c r="D808" s="3">
        <v>1404943</v>
      </c>
      <c r="E808" s="3">
        <v>17</v>
      </c>
      <c r="F808" s="3">
        <v>5</v>
      </c>
      <c r="G808" s="3" t="str">
        <f ca="1">IFERROR(__xludf.DUMMYFUNCTION("GOOGLETRANSLATE(A808,""auto"",""en"")"),"Baby Products")</f>
        <v>Baby Products</v>
      </c>
      <c r="H808" s="3" t="str">
        <f ca="1">IFERROR(__xludf.DUMMYFUNCTION("GOOGLETRANSLATE(B808,""auto"",""en"")"),"Daily")</f>
        <v>Daily</v>
      </c>
      <c r="I808" s="3" t="str">
        <f ca="1">IFERROR(__xludf.DUMMYFUNCTION("GOOGLETRANSLATE(C808,""auto"",""en"")"),"Wall Stickers / height stickers")</f>
        <v>Wall Stickers / height stickers</v>
      </c>
    </row>
    <row r="809" spans="1:9" ht="13" x14ac:dyDescent="0.15">
      <c r="A809" s="2" t="s">
        <v>838</v>
      </c>
      <c r="B809" s="2" t="s">
        <v>839</v>
      </c>
      <c r="C809" s="2" t="s">
        <v>840</v>
      </c>
      <c r="D809" s="3">
        <v>764416</v>
      </c>
      <c r="E809" s="3">
        <v>191007</v>
      </c>
      <c r="F809" s="3">
        <v>166237</v>
      </c>
      <c r="G809" s="3" t="s">
        <v>841</v>
      </c>
      <c r="H809" s="3" t="str">
        <f ca="1">IFERROR(__xludf.DUMMYFUNCTION("GOOGLETRANSLATE(B809,""auto"",""en"")"),"Set / school uniform / work uniforms")</f>
        <v>Set / school uniform / work uniforms</v>
      </c>
      <c r="I809" s="3" t="str">
        <f ca="1">IFERROR(__xludf.DUMMYFUNCTION("GOOGLETRANSLATE(C809,""auto"",""en"")"),"Leisure sports suit")</f>
        <v>Leisure sports suit</v>
      </c>
    </row>
    <row r="810" spans="1:9" ht="13" x14ac:dyDescent="0.15">
      <c r="A810" s="2" t="s">
        <v>838</v>
      </c>
      <c r="B810" s="2" t="s">
        <v>839</v>
      </c>
      <c r="C810" s="2" t="s">
        <v>842</v>
      </c>
      <c r="D810" s="3">
        <v>764416</v>
      </c>
      <c r="E810" s="3">
        <v>191007</v>
      </c>
      <c r="F810" s="3">
        <v>21264</v>
      </c>
      <c r="G810" s="3" t="s">
        <v>841</v>
      </c>
      <c r="H810" s="3" t="str">
        <f ca="1">IFERROR(__xludf.DUMMYFUNCTION("GOOGLETRANSLATE(B810,""auto"",""en"")"),"Set / school uniform / work uniforms")</f>
        <v>Set / school uniform / work uniforms</v>
      </c>
      <c r="I810" s="3" t="str">
        <f ca="1">IFERROR(__xludf.DUMMYFUNCTION("GOOGLETRANSLATE(C810,""auto"",""en"")"),"Career skirt suit")</f>
        <v>Career skirt suit</v>
      </c>
    </row>
    <row r="811" spans="1:9" ht="13" x14ac:dyDescent="0.15">
      <c r="A811" s="2" t="s">
        <v>838</v>
      </c>
      <c r="B811" s="2" t="s">
        <v>839</v>
      </c>
      <c r="C811" s="2" t="s">
        <v>843</v>
      </c>
      <c r="D811" s="3">
        <v>764416</v>
      </c>
      <c r="E811" s="3">
        <v>191007</v>
      </c>
      <c r="F811" s="3">
        <v>1754</v>
      </c>
      <c r="G811" s="3" t="s">
        <v>841</v>
      </c>
      <c r="H811" s="3" t="str">
        <f ca="1">IFERROR(__xludf.DUMMYFUNCTION("GOOGLETRANSLATE(B811,""auto"",""en"")"),"Set / school uniform / work uniforms")</f>
        <v>Set / school uniform / work uniforms</v>
      </c>
      <c r="I811" s="3" t="str">
        <f ca="1">IFERROR(__xludf.DUMMYFUNCTION("GOOGLETRANSLATE(C811,""auto"",""en"")"),"Other overalls suit")</f>
        <v>Other overalls suit</v>
      </c>
    </row>
    <row r="812" spans="1:9" ht="13" x14ac:dyDescent="0.15">
      <c r="A812" s="2" t="s">
        <v>838</v>
      </c>
      <c r="B812" s="2" t="s">
        <v>839</v>
      </c>
      <c r="C812" s="2" t="s">
        <v>844</v>
      </c>
      <c r="D812" s="3">
        <v>764416</v>
      </c>
      <c r="E812" s="3">
        <v>191007</v>
      </c>
      <c r="F812" s="3">
        <v>1351</v>
      </c>
      <c r="G812" s="3" t="s">
        <v>841</v>
      </c>
      <c r="H812" s="3" t="str">
        <f ca="1">IFERROR(__xludf.DUMMYFUNCTION("GOOGLETRANSLATE(B812,""auto"",""en"")"),"Set / school uniform / work uniforms")</f>
        <v>Set / school uniform / work uniforms</v>
      </c>
      <c r="I812" s="3" t="str">
        <f ca="1">IFERROR(__xludf.DUMMYFUNCTION("GOOGLETRANSLATE(C812,""auto"",""en"")"),"Other Uniforms")</f>
        <v>Other Uniforms</v>
      </c>
    </row>
    <row r="813" spans="1:9" ht="13" x14ac:dyDescent="0.15">
      <c r="A813" s="2" t="s">
        <v>838</v>
      </c>
      <c r="B813" s="2" t="s">
        <v>839</v>
      </c>
      <c r="C813" s="2" t="s">
        <v>610</v>
      </c>
      <c r="D813" s="3">
        <v>764416</v>
      </c>
      <c r="E813" s="3">
        <v>191007</v>
      </c>
      <c r="F813" s="3">
        <v>380</v>
      </c>
      <c r="G813" s="3" t="s">
        <v>841</v>
      </c>
      <c r="H813" s="3" t="str">
        <f ca="1">IFERROR(__xludf.DUMMYFUNCTION("GOOGLETRANSLATE(B813,""auto"",""en"")"),"Set / school uniform / work uniforms")</f>
        <v>Set / school uniform / work uniforms</v>
      </c>
      <c r="I813" s="3" t="str">
        <f ca="1">IFERROR(__xludf.DUMMYFUNCTION("GOOGLETRANSLATE(C813,""auto"",""en"")"),"sportswear")</f>
        <v>sportswear</v>
      </c>
    </row>
    <row r="814" spans="1:9" ht="13" x14ac:dyDescent="0.15">
      <c r="A814" s="2" t="s">
        <v>838</v>
      </c>
      <c r="B814" s="2" t="s">
        <v>839</v>
      </c>
      <c r="C814" s="2" t="s">
        <v>845</v>
      </c>
      <c r="D814" s="3">
        <v>764416</v>
      </c>
      <c r="E814" s="3">
        <v>191007</v>
      </c>
      <c r="F814" s="3">
        <v>22</v>
      </c>
      <c r="G814" s="3" t="s">
        <v>841</v>
      </c>
      <c r="H814" s="3" t="str">
        <f ca="1">IFERROR(__xludf.DUMMYFUNCTION("GOOGLETRANSLATE(B814,""auto"",""en"")"),"Set / school uniform / work uniforms")</f>
        <v>Set / school uniform / work uniforms</v>
      </c>
      <c r="I814" s="3" t="str">
        <f ca="1">IFERROR(__xludf.DUMMYFUNCTION("GOOGLETRANSLATE(C814,""auto"",""en"")"),"Student uniforms")</f>
        <v>Student uniforms</v>
      </c>
    </row>
    <row r="815" spans="1:9" ht="13" x14ac:dyDescent="0.15">
      <c r="A815" s="2" t="s">
        <v>838</v>
      </c>
      <c r="B815" s="3" t="s">
        <v>599</v>
      </c>
      <c r="C815" s="3" t="s">
        <v>599</v>
      </c>
      <c r="D815" s="3">
        <v>764416</v>
      </c>
      <c r="E815" s="3">
        <v>176501</v>
      </c>
      <c r="F815" s="3">
        <v>176501</v>
      </c>
      <c r="G815" s="3" t="s">
        <v>841</v>
      </c>
      <c r="H815" s="3" t="str">
        <f ca="1">IFERROR(__xludf.DUMMYFUNCTION("GOOGLETRANSLATE(B815,""auto"",""en"")"),"T-shirts")</f>
        <v>T-shirts</v>
      </c>
      <c r="I815" s="3" t="str">
        <f ca="1">IFERROR(__xludf.DUMMYFUNCTION("GOOGLETRANSLATE(C815,""auto"",""en"")"),"T-shirts")</f>
        <v>T-shirts</v>
      </c>
    </row>
    <row r="816" spans="1:9" ht="13" x14ac:dyDescent="0.15">
      <c r="A816" s="2" t="s">
        <v>838</v>
      </c>
      <c r="B816" s="2" t="s">
        <v>625</v>
      </c>
      <c r="C816" s="2" t="s">
        <v>625</v>
      </c>
      <c r="D816" s="3">
        <v>764416</v>
      </c>
      <c r="E816" s="3">
        <v>133639</v>
      </c>
      <c r="F816" s="3">
        <v>133639</v>
      </c>
      <c r="G816" s="3" t="s">
        <v>841</v>
      </c>
      <c r="H816" s="3" t="str">
        <f ca="1">IFERROR(__xludf.DUMMYFUNCTION("GOOGLETRANSLATE(B816,""auto"",""en"")"),"dress")</f>
        <v>dress</v>
      </c>
      <c r="I816" s="3" t="str">
        <f ca="1">IFERROR(__xludf.DUMMYFUNCTION("GOOGLETRANSLATE(C816,""auto"",""en"")"),"dress")</f>
        <v>dress</v>
      </c>
    </row>
    <row r="817" spans="1:9" ht="13" x14ac:dyDescent="0.15">
      <c r="A817" s="2" t="s">
        <v>838</v>
      </c>
      <c r="B817" s="2" t="s">
        <v>639</v>
      </c>
      <c r="C817" s="2" t="s">
        <v>846</v>
      </c>
      <c r="D817" s="3">
        <v>764416</v>
      </c>
      <c r="E817" s="3">
        <v>101000</v>
      </c>
      <c r="F817" s="3">
        <v>41785</v>
      </c>
      <c r="G817" s="3" t="s">
        <v>841</v>
      </c>
      <c r="H817" s="3" t="str">
        <f ca="1">IFERROR(__xludf.DUMMYFUNCTION("GOOGLETRANSLATE(B817,""auto"",""en"")"),"pants")</f>
        <v>pants</v>
      </c>
      <c r="I817" s="3" t="str">
        <f ca="1">IFERROR(__xludf.DUMMYFUNCTION("GOOGLETRANSLATE(C817,""auto"",""en"")"),"Slacks / pants")</f>
        <v>Slacks / pants</v>
      </c>
    </row>
    <row r="818" spans="1:9" ht="13" x14ac:dyDescent="0.15">
      <c r="A818" s="2" t="s">
        <v>838</v>
      </c>
      <c r="B818" s="2" t="s">
        <v>639</v>
      </c>
      <c r="C818" s="2" t="s">
        <v>847</v>
      </c>
      <c r="D818" s="3">
        <v>764416</v>
      </c>
      <c r="E818" s="3">
        <v>101000</v>
      </c>
      <c r="F818" s="3">
        <v>33851</v>
      </c>
      <c r="G818" s="3" t="s">
        <v>841</v>
      </c>
      <c r="H818" s="3" t="str">
        <f ca="1">IFERROR(__xludf.DUMMYFUNCTION("GOOGLETRANSLATE(B818,""auto"",""en"")"),"pants")</f>
        <v>pants</v>
      </c>
      <c r="I818" s="3" t="str">
        <f ca="1">IFERROR(__xludf.DUMMYFUNCTION("GOOGLETRANSLATE(C818,""auto"",""en"")"),"shorts")</f>
        <v>shorts</v>
      </c>
    </row>
    <row r="819" spans="1:9" ht="13" x14ac:dyDescent="0.15">
      <c r="A819" s="2" t="s">
        <v>838</v>
      </c>
      <c r="B819" s="2" t="s">
        <v>639</v>
      </c>
      <c r="C819" s="2" t="s">
        <v>848</v>
      </c>
      <c r="D819" s="3">
        <v>764416</v>
      </c>
      <c r="E819" s="3">
        <v>101000</v>
      </c>
      <c r="F819" s="3">
        <v>12641</v>
      </c>
      <c r="G819" s="3" t="s">
        <v>841</v>
      </c>
      <c r="H819" s="3" t="str">
        <f ca="1">IFERROR(__xludf.DUMMYFUNCTION("GOOGLETRANSLATE(B819,""auto"",""en"")"),"pants")</f>
        <v>pants</v>
      </c>
      <c r="I819" s="3" t="str">
        <f ca="1">IFERROR(__xludf.DUMMYFUNCTION("GOOGLETRANSLATE(C819,""auto"",""en"")"),"Leggings")</f>
        <v>Leggings</v>
      </c>
    </row>
    <row r="820" spans="1:9" ht="13" x14ac:dyDescent="0.15">
      <c r="A820" s="2" t="s">
        <v>838</v>
      </c>
      <c r="B820" s="2" t="s">
        <v>639</v>
      </c>
      <c r="C820" s="2" t="s">
        <v>849</v>
      </c>
      <c r="D820" s="3">
        <v>764416</v>
      </c>
      <c r="E820" s="3">
        <v>101000</v>
      </c>
      <c r="F820" s="3">
        <v>8821</v>
      </c>
      <c r="G820" s="3" t="s">
        <v>841</v>
      </c>
      <c r="H820" s="3" t="str">
        <f ca="1">IFERROR(__xludf.DUMMYFUNCTION("GOOGLETRANSLATE(B820,""auto"",""en"")"),"pants")</f>
        <v>pants</v>
      </c>
      <c r="I820" s="3" t="str">
        <f ca="1">IFERROR(__xludf.DUMMYFUNCTION("GOOGLETRANSLATE(C820,""auto"",""en"")"),"Safety pants")</f>
        <v>Safety pants</v>
      </c>
    </row>
    <row r="821" spans="1:9" ht="13" x14ac:dyDescent="0.15">
      <c r="A821" s="2" t="s">
        <v>838</v>
      </c>
      <c r="B821" s="2" t="s">
        <v>639</v>
      </c>
      <c r="C821" s="2" t="s">
        <v>850</v>
      </c>
      <c r="D821" s="3">
        <v>764416</v>
      </c>
      <c r="E821" s="3">
        <v>101000</v>
      </c>
      <c r="F821" s="3">
        <v>3308</v>
      </c>
      <c r="G821" s="3" t="s">
        <v>841</v>
      </c>
      <c r="H821" s="3" t="str">
        <f ca="1">IFERROR(__xludf.DUMMYFUNCTION("GOOGLETRANSLATE(B821,""auto"",""en"")"),"pants")</f>
        <v>pants</v>
      </c>
      <c r="I821" s="3" t="str">
        <f ca="1">IFERROR(__xludf.DUMMYFUNCTION("GOOGLETRANSLATE(C821,""auto"",""en"")"),"Pencil pants")</f>
        <v>Pencil pants</v>
      </c>
    </row>
    <row r="822" spans="1:9" ht="13" x14ac:dyDescent="0.15">
      <c r="A822" s="2" t="s">
        <v>838</v>
      </c>
      <c r="B822" s="2" t="s">
        <v>639</v>
      </c>
      <c r="C822" s="2" t="s">
        <v>851</v>
      </c>
      <c r="D822" s="3">
        <v>764416</v>
      </c>
      <c r="E822" s="3">
        <v>101000</v>
      </c>
      <c r="F822" s="3">
        <v>594</v>
      </c>
      <c r="G822" s="3" t="s">
        <v>841</v>
      </c>
      <c r="H822" s="3" t="str">
        <f ca="1">IFERROR(__xludf.DUMMYFUNCTION("GOOGLETRANSLATE(B822,""auto"",""en"")"),"pants")</f>
        <v>pants</v>
      </c>
      <c r="I822" s="3" t="str">
        <f ca="1">IFERROR(__xludf.DUMMYFUNCTION("GOOGLETRANSLATE(C822,""auto"",""en"")"),"Suit pants / dress pants")</f>
        <v>Suit pants / dress pants</v>
      </c>
    </row>
    <row r="823" spans="1:9" ht="13" x14ac:dyDescent="0.15">
      <c r="A823" s="2" t="s">
        <v>838</v>
      </c>
      <c r="B823" s="2" t="s">
        <v>639</v>
      </c>
      <c r="C823" s="2" t="s">
        <v>852</v>
      </c>
      <c r="D823" s="3">
        <v>764416</v>
      </c>
      <c r="E823" s="3">
        <v>101000</v>
      </c>
      <c r="F823" s="3">
        <v>5</v>
      </c>
      <c r="G823" s="3" t="s">
        <v>841</v>
      </c>
      <c r="H823" s="3" t="str">
        <f ca="1">IFERROR(__xludf.DUMMYFUNCTION("GOOGLETRANSLATE(B823,""auto"",""en"")"),"pants")</f>
        <v>pants</v>
      </c>
      <c r="I823" s="3" t="str">
        <f ca="1">IFERROR(__xludf.DUMMYFUNCTION("GOOGLETRANSLATE(C823,""auto"",""en"")"),"Trousers / pants down")</f>
        <v>Trousers / pants down</v>
      </c>
    </row>
    <row r="824" spans="1:9" ht="13" x14ac:dyDescent="0.15">
      <c r="A824" s="2" t="s">
        <v>838</v>
      </c>
      <c r="B824" s="2" t="s">
        <v>853</v>
      </c>
      <c r="C824" s="2" t="s">
        <v>853</v>
      </c>
      <c r="D824" s="3">
        <v>764416</v>
      </c>
      <c r="E824" s="3">
        <v>36396</v>
      </c>
      <c r="F824" s="3">
        <v>36396</v>
      </c>
      <c r="G824" s="3" t="s">
        <v>841</v>
      </c>
      <c r="H824" s="3" t="str">
        <f ca="1">IFERROR(__xludf.DUMMYFUNCTION("GOOGLETRANSLATE(B824,""auto"",""en"")"),"Lace shirt / chiffon shirt")</f>
        <v>Lace shirt / chiffon shirt</v>
      </c>
      <c r="I824" s="3" t="str">
        <f ca="1">IFERROR(__xludf.DUMMYFUNCTION("GOOGLETRANSLATE(C824,""auto"",""en"")"),"Lace shirt / chiffon shirt")</f>
        <v>Lace shirt / chiffon shirt</v>
      </c>
    </row>
    <row r="825" spans="1:9" ht="13" x14ac:dyDescent="0.15">
      <c r="A825" s="2" t="s">
        <v>838</v>
      </c>
      <c r="B825" s="2" t="s">
        <v>607</v>
      </c>
      <c r="C825" s="2" t="s">
        <v>607</v>
      </c>
      <c r="D825" s="3">
        <v>764416</v>
      </c>
      <c r="E825" s="3">
        <v>25596</v>
      </c>
      <c r="F825" s="3">
        <v>25596</v>
      </c>
      <c r="G825" s="3" t="s">
        <v>841</v>
      </c>
      <c r="H825" s="3" t="str">
        <f ca="1">IFERROR(__xludf.DUMMYFUNCTION("GOOGLETRANSLATE(B825,""auto"",""en"")"),"jeans")</f>
        <v>jeans</v>
      </c>
      <c r="I825" s="3" t="str">
        <f ca="1">IFERROR(__xludf.DUMMYFUNCTION("GOOGLETRANSLATE(C825,""auto"",""en"")"),"jeans")</f>
        <v>jeans</v>
      </c>
    </row>
    <row r="826" spans="1:9" ht="13" x14ac:dyDescent="0.15">
      <c r="A826" s="2" t="s">
        <v>838</v>
      </c>
      <c r="B826" s="2" t="s">
        <v>854</v>
      </c>
      <c r="C826" s="2" t="s">
        <v>854</v>
      </c>
      <c r="D826" s="3">
        <v>764416</v>
      </c>
      <c r="E826" s="3">
        <v>20857</v>
      </c>
      <c r="F826" s="3">
        <v>20857</v>
      </c>
      <c r="G826" s="3" t="s">
        <v>841</v>
      </c>
      <c r="H826" s="3" t="str">
        <f ca="1">IFERROR(__xludf.DUMMYFUNCTION("GOOGLETRANSLATE(B826,""auto"",""en"")"),"short jacket")</f>
        <v>short jacket</v>
      </c>
      <c r="I826" s="3" t="str">
        <f ca="1">IFERROR(__xludf.DUMMYFUNCTION("GOOGLETRANSLATE(C826,""auto"",""en"")"),"short jacket")</f>
        <v>short jacket</v>
      </c>
    </row>
    <row r="827" spans="1:9" ht="13" x14ac:dyDescent="0.15">
      <c r="A827" s="2" t="s">
        <v>838</v>
      </c>
      <c r="B827" s="2" t="s">
        <v>855</v>
      </c>
      <c r="C827" s="2" t="s">
        <v>855</v>
      </c>
      <c r="D827" s="3">
        <v>764416</v>
      </c>
      <c r="E827" s="3">
        <v>20082</v>
      </c>
      <c r="F827" s="3">
        <v>20082</v>
      </c>
      <c r="G827" s="3" t="s">
        <v>841</v>
      </c>
      <c r="H827" s="3" t="str">
        <f ca="1">IFERROR(__xludf.DUMMYFUNCTION("GOOGLETRANSLATE(B827,""auto"",""en"")"),"Middle-aged women")</f>
        <v>Middle-aged women</v>
      </c>
      <c r="I827" s="3" t="str">
        <f ca="1">IFERROR(__xludf.DUMMYFUNCTION("GOOGLETRANSLATE(C827,""auto"",""en"")"),"Middle-aged women")</f>
        <v>Middle-aged women</v>
      </c>
    </row>
    <row r="828" spans="1:9" ht="13" x14ac:dyDescent="0.15">
      <c r="A828" s="2" t="s">
        <v>838</v>
      </c>
      <c r="B828" s="2" t="s">
        <v>617</v>
      </c>
      <c r="C828" s="2" t="s">
        <v>617</v>
      </c>
      <c r="D828" s="3">
        <v>764416</v>
      </c>
      <c r="E828" s="3">
        <v>13617</v>
      </c>
      <c r="F828" s="3">
        <v>13617</v>
      </c>
      <c r="G828" s="3" t="s">
        <v>841</v>
      </c>
      <c r="H828" s="3" t="str">
        <f ca="1">IFERROR(__xludf.DUMMYFUNCTION("GOOGLETRANSLATE(B828,""auto"",""en"")"),"skirt")</f>
        <v>skirt</v>
      </c>
      <c r="I828" s="3" t="str">
        <f ca="1">IFERROR(__xludf.DUMMYFUNCTION("GOOGLETRANSLATE(C828,""auto"",""en"")"),"skirt")</f>
        <v>skirt</v>
      </c>
    </row>
    <row r="829" spans="1:9" ht="13" x14ac:dyDescent="0.15">
      <c r="A829" s="2" t="s">
        <v>838</v>
      </c>
      <c r="B829" s="2" t="s">
        <v>609</v>
      </c>
      <c r="C829" s="2" t="s">
        <v>609</v>
      </c>
      <c r="D829" s="3">
        <v>764416</v>
      </c>
      <c r="E829" s="3">
        <v>11963</v>
      </c>
      <c r="F829" s="3">
        <v>11963</v>
      </c>
      <c r="G829" s="3" t="s">
        <v>841</v>
      </c>
      <c r="H829" s="3" t="str">
        <f ca="1">IFERROR(__xludf.DUMMYFUNCTION("GOOGLETRANSLATE(B829,""auto"",""en"")"),"shirt")</f>
        <v>shirt</v>
      </c>
      <c r="I829" s="3" t="str">
        <f ca="1">IFERROR(__xludf.DUMMYFUNCTION("GOOGLETRANSLATE(C829,""auto"",""en"")"),"shirt")</f>
        <v>shirt</v>
      </c>
    </row>
    <row r="830" spans="1:9" ht="13" x14ac:dyDescent="0.15">
      <c r="A830" s="2" t="s">
        <v>838</v>
      </c>
      <c r="B830" s="2" t="s">
        <v>856</v>
      </c>
      <c r="C830" s="2" t="s">
        <v>856</v>
      </c>
      <c r="D830" s="3">
        <v>764416</v>
      </c>
      <c r="E830" s="3">
        <v>10468</v>
      </c>
      <c r="F830" s="3">
        <v>10468</v>
      </c>
      <c r="G830" s="3" t="s">
        <v>841</v>
      </c>
      <c r="H830" s="3" t="str">
        <f ca="1">IFERROR(__xludf.DUMMYFUNCTION("GOOGLETRANSLATE(B830,""auto"",""en"")"),"camisole")</f>
        <v>camisole</v>
      </c>
      <c r="I830" s="3" t="str">
        <f ca="1">IFERROR(__xludf.DUMMYFUNCTION("GOOGLETRANSLATE(C830,""auto"",""en"")"),"camisole")</f>
        <v>camisole</v>
      </c>
    </row>
    <row r="831" spans="1:9" ht="13" x14ac:dyDescent="0.15">
      <c r="A831" s="2" t="s">
        <v>838</v>
      </c>
      <c r="B831" s="2" t="s">
        <v>857</v>
      </c>
      <c r="C831" s="2" t="s">
        <v>857</v>
      </c>
      <c r="D831" s="3">
        <v>764416</v>
      </c>
      <c r="E831" s="3">
        <v>6870</v>
      </c>
      <c r="F831" s="3">
        <v>6870</v>
      </c>
      <c r="G831" s="3" t="s">
        <v>841</v>
      </c>
      <c r="H831" s="3" t="str">
        <f ca="1">IFERROR(__xludf.DUMMYFUNCTION("GOOGLETRANSLATE(B831,""auto"",""en"")"),"sweater")</f>
        <v>sweater</v>
      </c>
      <c r="I831" s="3" t="str">
        <f ca="1">IFERROR(__xludf.DUMMYFUNCTION("GOOGLETRANSLATE(C831,""auto"",""en"")"),"sweater")</f>
        <v>sweater</v>
      </c>
    </row>
    <row r="832" spans="1:9" ht="13" x14ac:dyDescent="0.15">
      <c r="A832" s="2" t="s">
        <v>838</v>
      </c>
      <c r="B832" s="2" t="s">
        <v>858</v>
      </c>
      <c r="C832" s="2" t="s">
        <v>858</v>
      </c>
      <c r="D832" s="3">
        <v>764416</v>
      </c>
      <c r="E832" s="3">
        <v>2984</v>
      </c>
      <c r="F832" s="3">
        <v>2984</v>
      </c>
      <c r="G832" s="3" t="s">
        <v>841</v>
      </c>
      <c r="H832" s="3" t="str">
        <f ca="1">IFERROR(__xludf.DUMMYFUNCTION("GOOGLETRANSLATE(B832,""auto"",""en"")"),"Large size women")</f>
        <v>Large size women</v>
      </c>
      <c r="I832" s="3" t="str">
        <f ca="1">IFERROR(__xludf.DUMMYFUNCTION("GOOGLETRANSLATE(C832,""auto"",""en"")"),"Large size women")</f>
        <v>Large size women</v>
      </c>
    </row>
    <row r="833" spans="1:9" ht="13" x14ac:dyDescent="0.15">
      <c r="A833" s="2" t="s">
        <v>838</v>
      </c>
      <c r="B833" s="2" t="s">
        <v>618</v>
      </c>
      <c r="C833" s="2" t="s">
        <v>618</v>
      </c>
      <c r="D833" s="3">
        <v>764416</v>
      </c>
      <c r="E833" s="3">
        <v>2971</v>
      </c>
      <c r="F833" s="3">
        <v>2971</v>
      </c>
      <c r="G833" s="3" t="s">
        <v>841</v>
      </c>
      <c r="H833" s="3" t="str">
        <f ca="1">IFERROR(__xludf.DUMMYFUNCTION("GOOGLETRANSLATE(B833,""auto"",""en"")"),"Sweater / Fleece")</f>
        <v>Sweater / Fleece</v>
      </c>
      <c r="I833" s="3" t="str">
        <f ca="1">IFERROR(__xludf.DUMMYFUNCTION("GOOGLETRANSLATE(C833,""auto"",""en"")"),"Sweater / Fleece")</f>
        <v>Sweater / Fleece</v>
      </c>
    </row>
    <row r="834" spans="1:9" ht="13" x14ac:dyDescent="0.15">
      <c r="A834" s="2" t="s">
        <v>838</v>
      </c>
      <c r="B834" s="2" t="s">
        <v>859</v>
      </c>
      <c r="C834" s="2" t="s">
        <v>859</v>
      </c>
      <c r="D834" s="3">
        <v>764416</v>
      </c>
      <c r="E834" s="3">
        <v>2202</v>
      </c>
      <c r="F834" s="3">
        <v>2202</v>
      </c>
      <c r="G834" s="3" t="s">
        <v>841</v>
      </c>
      <c r="H834" s="3" t="str">
        <f ca="1">IFERROR(__xludf.DUMMYFUNCTION("GOOGLETRANSLATE(B834,""auto"",""en"")"),"Windbreaker")</f>
        <v>Windbreaker</v>
      </c>
      <c r="I834" s="3" t="str">
        <f ca="1">IFERROR(__xludf.DUMMYFUNCTION("GOOGLETRANSLATE(C834,""auto"",""en"")"),"Windbreaker")</f>
        <v>Windbreaker</v>
      </c>
    </row>
    <row r="835" spans="1:9" ht="13" x14ac:dyDescent="0.15">
      <c r="A835" s="2" t="s">
        <v>838</v>
      </c>
      <c r="B835" s="2" t="s">
        <v>860</v>
      </c>
      <c r="C835" s="2" t="s">
        <v>860</v>
      </c>
      <c r="D835" s="3">
        <v>764416</v>
      </c>
      <c r="E835" s="3">
        <v>1577</v>
      </c>
      <c r="F835" s="3">
        <v>1577</v>
      </c>
      <c r="G835" s="3" t="s">
        <v>841</v>
      </c>
      <c r="H835" s="3" t="str">
        <f ca="1">IFERROR(__xludf.DUMMYFUNCTION("GOOGLETRANSLATE(B835,""auto"",""en"")"),"Swimsuit")</f>
        <v>Swimsuit</v>
      </c>
      <c r="I835" s="3" t="str">
        <f ca="1">IFERROR(__xludf.DUMMYFUNCTION("GOOGLETRANSLATE(C835,""auto"",""en"")"),"Swimsuit")</f>
        <v>Swimsuit</v>
      </c>
    </row>
    <row r="836" spans="1:9" ht="13" x14ac:dyDescent="0.15">
      <c r="A836" s="2" t="s">
        <v>838</v>
      </c>
      <c r="B836" s="2" t="s">
        <v>861</v>
      </c>
      <c r="C836" s="2" t="s">
        <v>861</v>
      </c>
      <c r="D836" s="3">
        <v>764416</v>
      </c>
      <c r="E836" s="3">
        <v>1442</v>
      </c>
      <c r="F836" s="3">
        <v>1442</v>
      </c>
      <c r="G836" s="3" t="s">
        <v>841</v>
      </c>
      <c r="H836" s="3" t="str">
        <f ca="1">IFERROR(__xludf.DUMMYFUNCTION("GOOGLETRANSLATE(B836,""auto"",""en"")"),"Woolen coat")</f>
        <v>Woolen coat</v>
      </c>
      <c r="I836" s="3" t="str">
        <f ca="1">IFERROR(__xludf.DUMMYFUNCTION("GOOGLETRANSLATE(C836,""auto"",""en"")"),"Woolen coat")</f>
        <v>Woolen coat</v>
      </c>
    </row>
    <row r="837" spans="1:9" ht="13" x14ac:dyDescent="0.15">
      <c r="A837" s="2" t="s">
        <v>838</v>
      </c>
      <c r="B837" s="2" t="s">
        <v>862</v>
      </c>
      <c r="C837" s="2" t="s">
        <v>862</v>
      </c>
      <c r="D837" s="3">
        <v>764416</v>
      </c>
      <c r="E837" s="3">
        <v>1174</v>
      </c>
      <c r="F837" s="3">
        <v>1174</v>
      </c>
      <c r="G837" s="3" t="s">
        <v>841</v>
      </c>
      <c r="H837" s="3" t="str">
        <f ca="1">IFERROR(__xludf.DUMMYFUNCTION("GOOGLETRANSLATE(B837,""auto"",""en"")"),"Bra")</f>
        <v>Bra</v>
      </c>
      <c r="I837" s="3" t="str">
        <f ca="1">IFERROR(__xludf.DUMMYFUNCTION("GOOGLETRANSLATE(C837,""auto"",""en"")"),"Bra")</f>
        <v>Bra</v>
      </c>
    </row>
    <row r="838" spans="1:9" ht="13" x14ac:dyDescent="0.15">
      <c r="A838" s="2" t="s">
        <v>838</v>
      </c>
      <c r="B838" s="2" t="s">
        <v>863</v>
      </c>
      <c r="C838" s="2" t="s">
        <v>863</v>
      </c>
      <c r="D838" s="3">
        <v>764416</v>
      </c>
      <c r="E838" s="3">
        <v>884</v>
      </c>
      <c r="F838" s="3">
        <v>884</v>
      </c>
      <c r="G838" s="3" t="s">
        <v>841</v>
      </c>
      <c r="H838" s="3" t="str">
        <f ca="1">IFERROR(__xludf.DUMMYFUNCTION("GOOGLETRANSLATE(B838,""auto"",""en"")"),"Sweater")</f>
        <v>Sweater</v>
      </c>
      <c r="I838" s="3" t="str">
        <f ca="1">IFERROR(__xludf.DUMMYFUNCTION("GOOGLETRANSLATE(C838,""auto"",""en"")"),"Sweater")</f>
        <v>Sweater</v>
      </c>
    </row>
    <row r="839" spans="1:9" ht="13" x14ac:dyDescent="0.15">
      <c r="A839" s="2" t="s">
        <v>838</v>
      </c>
      <c r="B839" s="2" t="s">
        <v>864</v>
      </c>
      <c r="C839" s="2" t="s">
        <v>864</v>
      </c>
      <c r="D839" s="3">
        <v>764416</v>
      </c>
      <c r="E839" s="3">
        <v>765</v>
      </c>
      <c r="F839" s="3">
        <v>765</v>
      </c>
      <c r="G839" s="3" t="s">
        <v>841</v>
      </c>
      <c r="H839" s="3" t="str">
        <f ca="1">IFERROR(__xludf.DUMMYFUNCTION("GOOGLETRANSLATE(B839,""auto"",""en"")"),"Cotton / cotton")</f>
        <v>Cotton / cotton</v>
      </c>
      <c r="I839" s="3" t="str">
        <f ca="1">IFERROR(__xludf.DUMMYFUNCTION("GOOGLETRANSLATE(C839,""auto"",""en"")"),"Cotton / cotton")</f>
        <v>Cotton / cotton</v>
      </c>
    </row>
    <row r="840" spans="1:9" ht="13" x14ac:dyDescent="0.15">
      <c r="A840" s="2" t="s">
        <v>838</v>
      </c>
      <c r="B840" s="2" t="s">
        <v>865</v>
      </c>
      <c r="C840" s="2" t="s">
        <v>865</v>
      </c>
      <c r="D840" s="3">
        <v>764416</v>
      </c>
      <c r="E840" s="3">
        <v>656</v>
      </c>
      <c r="F840" s="3">
        <v>656</v>
      </c>
      <c r="G840" s="3" t="s">
        <v>841</v>
      </c>
      <c r="H840" s="3" t="str">
        <f ca="1">IFERROR(__xludf.DUMMYFUNCTION("GOOGLETRANSLATE(B840,""auto"",""en"")"),"Fur")</f>
        <v>Fur</v>
      </c>
      <c r="I840" s="3" t="str">
        <f ca="1">IFERROR(__xludf.DUMMYFUNCTION("GOOGLETRANSLATE(C840,""auto"",""en"")"),"Fur")</f>
        <v>Fur</v>
      </c>
    </row>
    <row r="841" spans="1:9" ht="13" x14ac:dyDescent="0.15">
      <c r="A841" s="2" t="s">
        <v>838</v>
      </c>
      <c r="B841" s="2" t="s">
        <v>866</v>
      </c>
      <c r="C841" s="2" t="s">
        <v>866</v>
      </c>
      <c r="D841" s="3">
        <v>764416</v>
      </c>
      <c r="E841" s="3">
        <v>485</v>
      </c>
      <c r="F841" s="3">
        <v>485</v>
      </c>
      <c r="G841" s="3" t="s">
        <v>841</v>
      </c>
      <c r="H841" s="3" t="str">
        <f ca="1">IFERROR(__xludf.DUMMYFUNCTION("GOOGLETRANSLATE(B841,""auto"",""en"")"),"Maga")</f>
        <v>Maga</v>
      </c>
      <c r="I841" s="3" t="str">
        <f ca="1">IFERROR(__xludf.DUMMYFUNCTION("GOOGLETRANSLATE(C841,""auto"",""en"")"),"Maga")</f>
        <v>Maga</v>
      </c>
    </row>
    <row r="842" spans="1:9" ht="13" x14ac:dyDescent="0.15">
      <c r="A842" s="2" t="s">
        <v>838</v>
      </c>
      <c r="B842" s="2" t="s">
        <v>867</v>
      </c>
      <c r="C842" s="2" t="s">
        <v>867</v>
      </c>
      <c r="D842" s="3">
        <v>764416</v>
      </c>
      <c r="E842" s="3">
        <v>399</v>
      </c>
      <c r="F842" s="3">
        <v>399</v>
      </c>
      <c r="G842" s="3" t="s">
        <v>841</v>
      </c>
      <c r="H842" s="3" t="str">
        <f ca="1">IFERROR(__xludf.DUMMYFUNCTION("GOOGLETRANSLATE(B842,""auto"",""en"")"),"Down")</f>
        <v>Down</v>
      </c>
      <c r="I842" s="3" t="str">
        <f ca="1">IFERROR(__xludf.DUMMYFUNCTION("GOOGLETRANSLATE(C842,""auto"",""en"")"),"Down")</f>
        <v>Down</v>
      </c>
    </row>
    <row r="843" spans="1:9" ht="13" x14ac:dyDescent="0.15">
      <c r="A843" s="2" t="s">
        <v>838</v>
      </c>
      <c r="B843" s="2" t="s">
        <v>868</v>
      </c>
      <c r="C843" s="2" t="s">
        <v>869</v>
      </c>
      <c r="D843" s="3">
        <v>764416</v>
      </c>
      <c r="E843" s="3">
        <v>335</v>
      </c>
      <c r="F843" s="3">
        <v>334</v>
      </c>
      <c r="G843" s="3" t="s">
        <v>841</v>
      </c>
      <c r="H843" s="3" t="str">
        <f ca="1">IFERROR(__xludf.DUMMYFUNCTION("GOOGLETRANSLATE(B843,""auto"",""en"")"),"Wedding / dress / dress")</f>
        <v>Wedding / dress / dress</v>
      </c>
      <c r="I843" s="3" t="str">
        <f ca="1">IFERROR(__xludf.DUMMYFUNCTION("GOOGLETRANSLATE(C843,""auto"",""en"")"),"cheongsam")</f>
        <v>cheongsam</v>
      </c>
    </row>
    <row r="844" spans="1:9" ht="13" x14ac:dyDescent="0.15">
      <c r="A844" s="2" t="s">
        <v>838</v>
      </c>
      <c r="B844" s="2" t="s">
        <v>868</v>
      </c>
      <c r="C844" s="2" t="s">
        <v>870</v>
      </c>
      <c r="D844" s="3">
        <v>764416</v>
      </c>
      <c r="E844" s="3">
        <v>335</v>
      </c>
      <c r="F844" s="3">
        <v>1</v>
      </c>
      <c r="G844" s="3" t="s">
        <v>841</v>
      </c>
      <c r="H844" s="3" t="str">
        <f ca="1">IFERROR(__xludf.DUMMYFUNCTION("GOOGLETRANSLATE(B844,""auto"",""en"")"),"Wedding / dress / dress")</f>
        <v>Wedding / dress / dress</v>
      </c>
      <c r="I844" s="3" t="str">
        <f ca="1">IFERROR(__xludf.DUMMYFUNCTION("GOOGLETRANSLATE(C844,""auto"",""en"")"),"Dress / evening")</f>
        <v>Dress / evening</v>
      </c>
    </row>
    <row r="845" spans="1:9" ht="13" x14ac:dyDescent="0.15">
      <c r="A845" s="2" t="s">
        <v>838</v>
      </c>
      <c r="B845" s="2" t="s">
        <v>871</v>
      </c>
      <c r="C845" s="2" t="s">
        <v>871</v>
      </c>
      <c r="D845" s="3">
        <v>764416</v>
      </c>
      <c r="E845" s="3">
        <v>294</v>
      </c>
      <c r="F845" s="3">
        <v>294</v>
      </c>
      <c r="G845" s="3" t="s">
        <v>841</v>
      </c>
      <c r="H845" s="3" t="str">
        <f ca="1">IFERROR(__xludf.DUMMYFUNCTION("GOOGLETRANSLATE(B845,""auto"",""en"")"),"Lovers")</f>
        <v>Lovers</v>
      </c>
      <c r="I845" s="3" t="str">
        <f ca="1">IFERROR(__xludf.DUMMYFUNCTION("GOOGLETRANSLATE(C845,""auto"",""en"")"),"Lovers")</f>
        <v>Lovers</v>
      </c>
    </row>
    <row r="846" spans="1:9" ht="13" x14ac:dyDescent="0.15">
      <c r="A846" s="2" t="s">
        <v>838</v>
      </c>
      <c r="B846" s="2" t="s">
        <v>872</v>
      </c>
      <c r="C846" s="2" t="s">
        <v>872</v>
      </c>
      <c r="D846" s="3">
        <v>764416</v>
      </c>
      <c r="E846" s="3">
        <v>290</v>
      </c>
      <c r="F846" s="3">
        <v>290</v>
      </c>
      <c r="G846" s="3" t="s">
        <v>841</v>
      </c>
      <c r="H846" s="3" t="str">
        <f ca="1">IFERROR(__xludf.DUMMYFUNCTION("GOOGLETRANSLATE(B846,""auto"",""en"")"),"Suit")</f>
        <v>Suit</v>
      </c>
      <c r="I846" s="3" t="str">
        <f ca="1">IFERROR(__xludf.DUMMYFUNCTION("GOOGLETRANSLATE(C846,""auto"",""en"")"),"Suit")</f>
        <v>Suit</v>
      </c>
    </row>
    <row r="847" spans="1:9" ht="13" x14ac:dyDescent="0.15">
      <c r="A847" s="2" t="s">
        <v>838</v>
      </c>
      <c r="B847" s="2" t="s">
        <v>873</v>
      </c>
      <c r="C847" s="2" t="s">
        <v>874</v>
      </c>
      <c r="D847" s="3">
        <v>764416</v>
      </c>
      <c r="E847" s="3">
        <v>21</v>
      </c>
      <c r="F847" s="3">
        <v>20</v>
      </c>
      <c r="G847" s="3" t="s">
        <v>841</v>
      </c>
      <c r="H847" s="3" t="str">
        <f ca="1">IFERROR(__xludf.DUMMYFUNCTION("GOOGLETRANSLATE(B847,""auto"",""en"")"),"Costume / ethnic clothing / stage costumes")</f>
        <v>Costume / ethnic clothing / stage costumes</v>
      </c>
      <c r="I847" s="3" t="str">
        <f ca="1">IFERROR(__xludf.DUMMYFUNCTION("GOOGLETRANSLATE(C847,""auto"",""en"")"),"Ethnic clothing / stage costumes")</f>
        <v>Ethnic clothing / stage costumes</v>
      </c>
    </row>
    <row r="848" spans="1:9" ht="13" x14ac:dyDescent="0.15">
      <c r="A848" s="2" t="s">
        <v>838</v>
      </c>
      <c r="B848" s="2" t="s">
        <v>873</v>
      </c>
      <c r="C848" s="2" t="s">
        <v>875</v>
      </c>
      <c r="D848" s="3">
        <v>764416</v>
      </c>
      <c r="E848" s="3">
        <v>21</v>
      </c>
      <c r="F848" s="3">
        <v>1</v>
      </c>
      <c r="G848" s="3" t="s">
        <v>841</v>
      </c>
      <c r="H848" s="3" t="str">
        <f ca="1">IFERROR(__xludf.DUMMYFUNCTION("GOOGLETRANSLATE(B848,""auto"",""en"")"),"Costume / ethnic clothing / stage costumes")</f>
        <v>Costume / ethnic clothing / stage costumes</v>
      </c>
      <c r="I848" s="3" t="str">
        <f ca="1">IFERROR(__xludf.DUMMYFUNCTION("GOOGLETRANSLATE(C848,""auto"",""en"")"),"Costume / Chinese clothing")</f>
        <v>Costume / Chinese clothing</v>
      </c>
    </row>
    <row r="849" spans="1:9" ht="13" x14ac:dyDescent="0.15">
      <c r="A849" s="2" t="s">
        <v>838</v>
      </c>
      <c r="B849" s="2" t="s">
        <v>876</v>
      </c>
      <c r="C849" s="2" t="s">
        <v>876</v>
      </c>
      <c r="D849" s="3">
        <v>764416</v>
      </c>
      <c r="E849" s="3">
        <v>11</v>
      </c>
      <c r="F849" s="3">
        <v>11</v>
      </c>
      <c r="G849" s="3" t="s">
        <v>841</v>
      </c>
      <c r="H849" s="3" t="str">
        <f ca="1">IFERROR(__xludf.DUMMYFUNCTION("GOOGLETRANSLATE(B849,""auto"",""en"")"),"Leather clothing")</f>
        <v>Leather clothing</v>
      </c>
      <c r="I849" s="3" t="str">
        <f ca="1">IFERROR(__xludf.DUMMYFUNCTION("GOOGLETRANSLATE(C849,""auto"",""en"")"),"Leather clothing")</f>
        <v>Leather clothing</v>
      </c>
    </row>
    <row r="850" spans="1:9" ht="13" x14ac:dyDescent="0.15">
      <c r="A850" s="2" t="s">
        <v>838</v>
      </c>
      <c r="B850" s="2" t="s">
        <v>877</v>
      </c>
      <c r="C850" s="2" t="s">
        <v>877</v>
      </c>
      <c r="D850" s="3">
        <v>764416</v>
      </c>
      <c r="E850" s="3">
        <v>1</v>
      </c>
      <c r="F850" s="3">
        <v>1</v>
      </c>
      <c r="G850" s="3" t="s">
        <v>841</v>
      </c>
      <c r="H850" s="3" t="str">
        <f ca="1">IFERROR(__xludf.DUMMYFUNCTION("GOOGLETRANSLATE(B850,""auto"",""en"")"),"Dresses")</f>
        <v>Dresses</v>
      </c>
      <c r="I850" s="3" t="str">
        <f ca="1">IFERROR(__xludf.DUMMYFUNCTION("GOOGLETRANSLATE(C850,""auto"",""en"")"),"Dresses")</f>
        <v>Dresses</v>
      </c>
    </row>
    <row r="851" spans="1:9" ht="13" x14ac:dyDescent="0.15">
      <c r="A851" s="2" t="s">
        <v>878</v>
      </c>
      <c r="B851" s="2" t="s">
        <v>879</v>
      </c>
      <c r="C851" s="2" t="s">
        <v>880</v>
      </c>
      <c r="D851" s="3">
        <v>627769</v>
      </c>
      <c r="E851" s="3">
        <v>197948</v>
      </c>
      <c r="F851" s="3">
        <v>89777</v>
      </c>
      <c r="G851" s="3" t="s">
        <v>881</v>
      </c>
      <c r="H851" s="3" t="str">
        <f ca="1">IFERROR(__xludf.DUMMYFUNCTION("GOOGLETRANSLATE(B851,""auto"",""en"")"),"Facial")</f>
        <v>Facial</v>
      </c>
      <c r="I851" s="3" t="str">
        <f ca="1">IFERROR(__xludf.DUMMYFUNCTION("GOOGLETRANSLATE(C851,""auto"",""en"")"),"Mask")</f>
        <v>Mask</v>
      </c>
    </row>
    <row r="852" spans="1:9" ht="13" x14ac:dyDescent="0.15">
      <c r="A852" s="2" t="s">
        <v>878</v>
      </c>
      <c r="B852" s="2" t="s">
        <v>879</v>
      </c>
      <c r="C852" s="2" t="s">
        <v>882</v>
      </c>
      <c r="D852" s="3">
        <v>627769</v>
      </c>
      <c r="E852" s="3">
        <v>197948</v>
      </c>
      <c r="F852" s="3">
        <v>25622</v>
      </c>
      <c r="G852" s="3" t="s">
        <v>881</v>
      </c>
      <c r="H852" s="3" t="str">
        <f ca="1">IFERROR(__xludf.DUMMYFUNCTION("GOOGLETRANSLATE(B852,""auto"",""en"")"),"Facial")</f>
        <v>Facial</v>
      </c>
      <c r="I852" s="3" t="str">
        <f ca="1">IFERROR(__xludf.DUMMYFUNCTION("GOOGLETRANSLATE(C852,""auto"",""en"")"),"Care packages")</f>
        <v>Care packages</v>
      </c>
    </row>
    <row r="853" spans="1:9" ht="13" x14ac:dyDescent="0.15">
      <c r="A853" s="2" t="s">
        <v>878</v>
      </c>
      <c r="B853" s="2" t="s">
        <v>879</v>
      </c>
      <c r="C853" s="2" t="s">
        <v>883</v>
      </c>
      <c r="D853" s="3">
        <v>627769</v>
      </c>
      <c r="E853" s="3">
        <v>197948</v>
      </c>
      <c r="F853" s="3">
        <v>12148</v>
      </c>
      <c r="G853" s="3" t="s">
        <v>881</v>
      </c>
      <c r="H853" s="3" t="str">
        <f ca="1">IFERROR(__xludf.DUMMYFUNCTION("GOOGLETRANSLATE(B853,""auto"",""en"")"),"Facial")</f>
        <v>Facial</v>
      </c>
      <c r="I853" s="3" t="str">
        <f ca="1">IFERROR(__xludf.DUMMYFUNCTION("GOOGLETRANSLATE(C853,""auto"",""en"")"),"Sunscreen")</f>
        <v>Sunscreen</v>
      </c>
    </row>
    <row r="854" spans="1:9" ht="13" x14ac:dyDescent="0.15">
      <c r="A854" s="2" t="s">
        <v>878</v>
      </c>
      <c r="B854" s="2" t="s">
        <v>879</v>
      </c>
      <c r="C854" s="2" t="s">
        <v>884</v>
      </c>
      <c r="D854" s="3">
        <v>627769</v>
      </c>
      <c r="E854" s="3">
        <v>197948</v>
      </c>
      <c r="F854" s="3">
        <v>12147</v>
      </c>
      <c r="G854" s="3" t="s">
        <v>881</v>
      </c>
      <c r="H854" s="3" t="str">
        <f ca="1">IFERROR(__xludf.DUMMYFUNCTION("GOOGLETRANSLATE(B854,""auto"",""en"")"),"Facial")</f>
        <v>Facial</v>
      </c>
      <c r="I854" s="3" t="str">
        <f ca="1">IFERROR(__xludf.DUMMYFUNCTION("GOOGLETRANSLATE(C854,""auto"",""en"")"),"Cleansing")</f>
        <v>Cleansing</v>
      </c>
    </row>
    <row r="855" spans="1:9" ht="13" x14ac:dyDescent="0.15">
      <c r="A855" s="2" t="s">
        <v>878</v>
      </c>
      <c r="B855" s="2" t="s">
        <v>879</v>
      </c>
      <c r="C855" s="2" t="s">
        <v>885</v>
      </c>
      <c r="D855" s="3">
        <v>627769</v>
      </c>
      <c r="E855" s="3">
        <v>197948</v>
      </c>
      <c r="F855" s="3">
        <v>10239</v>
      </c>
      <c r="G855" s="3" t="s">
        <v>881</v>
      </c>
      <c r="H855" s="3" t="str">
        <f ca="1">IFERROR(__xludf.DUMMYFUNCTION("GOOGLETRANSLATE(B855,""auto"",""en"")"),"Facial")</f>
        <v>Facial</v>
      </c>
      <c r="I855" s="3" t="str">
        <f ca="1">IFERROR(__xludf.DUMMYFUNCTION("GOOGLETRANSLATE(C855,""auto"",""en"")"),"Lotion / Cream")</f>
        <v>Lotion / Cream</v>
      </c>
    </row>
    <row r="856" spans="1:9" ht="13" x14ac:dyDescent="0.15">
      <c r="A856" s="2" t="s">
        <v>878</v>
      </c>
      <c r="B856" s="2" t="s">
        <v>879</v>
      </c>
      <c r="C856" s="2" t="s">
        <v>886</v>
      </c>
      <c r="D856" s="3">
        <v>627769</v>
      </c>
      <c r="E856" s="3">
        <v>197948</v>
      </c>
      <c r="F856" s="3">
        <v>7803</v>
      </c>
      <c r="G856" s="3" t="s">
        <v>881</v>
      </c>
      <c r="H856" s="3" t="str">
        <f ca="1">IFERROR(__xludf.DUMMYFUNCTION("GOOGLETRANSLATE(B856,""auto"",""en"")"),"Facial")</f>
        <v>Facial</v>
      </c>
      <c r="I856" s="3" t="str">
        <f ca="1">IFERROR(__xludf.DUMMYFUNCTION("GOOGLETRANSLATE(C856,""auto"",""en"")"),"Makeup / Toner")</f>
        <v>Makeup / Toner</v>
      </c>
    </row>
    <row r="857" spans="1:9" ht="13" x14ac:dyDescent="0.15">
      <c r="A857" s="2" t="s">
        <v>878</v>
      </c>
      <c r="B857" s="2" t="s">
        <v>879</v>
      </c>
      <c r="C857" s="2" t="s">
        <v>887</v>
      </c>
      <c r="D857" s="3">
        <v>627769</v>
      </c>
      <c r="E857" s="3">
        <v>197948</v>
      </c>
      <c r="F857" s="3">
        <v>6193</v>
      </c>
      <c r="G857" s="3" t="s">
        <v>881</v>
      </c>
      <c r="H857" s="3" t="str">
        <f ca="1">IFERROR(__xludf.DUMMYFUNCTION("GOOGLETRANSLATE(B857,""auto"",""en"")"),"Facial")</f>
        <v>Facial</v>
      </c>
      <c r="I857" s="3" t="str">
        <f ca="1">IFERROR(__xludf.DUMMYFUNCTION("GOOGLETRANSLATE(C857,""auto"",""en"")"),"Other facial skin care")</f>
        <v>Other facial skin care</v>
      </c>
    </row>
    <row r="858" spans="1:9" ht="13" x14ac:dyDescent="0.15">
      <c r="A858" s="2" t="s">
        <v>878</v>
      </c>
      <c r="B858" s="2" t="s">
        <v>879</v>
      </c>
      <c r="C858" s="2" t="s">
        <v>888</v>
      </c>
      <c r="D858" s="3">
        <v>627769</v>
      </c>
      <c r="E858" s="3">
        <v>197948</v>
      </c>
      <c r="F858" s="3">
        <v>6162</v>
      </c>
      <c r="G858" s="3" t="s">
        <v>881</v>
      </c>
      <c r="H858" s="3" t="str">
        <f ca="1">IFERROR(__xludf.DUMMYFUNCTION("GOOGLETRANSLATE(B858,""auto"",""en"")"),"Facial")</f>
        <v>Facial</v>
      </c>
      <c r="I858" s="3" t="str">
        <f ca="1">IFERROR(__xludf.DUMMYFUNCTION("GOOGLETRANSLATE(C858,""auto"",""en"")"),"Face Essence")</f>
        <v>Face Essence</v>
      </c>
    </row>
    <row r="859" spans="1:9" ht="13" x14ac:dyDescent="0.15">
      <c r="A859" s="2" t="s">
        <v>878</v>
      </c>
      <c r="B859" s="2" t="s">
        <v>879</v>
      </c>
      <c r="C859" s="3" t="s">
        <v>889</v>
      </c>
      <c r="D859" s="3">
        <v>627769</v>
      </c>
      <c r="E859" s="3">
        <v>197948</v>
      </c>
      <c r="F859" s="3">
        <v>6090</v>
      </c>
      <c r="G859" s="3" t="s">
        <v>881</v>
      </c>
      <c r="H859" s="3" t="str">
        <f ca="1">IFERROR(__xludf.DUMMYFUNCTION("GOOGLETRANSLATE(B859,""auto"",""en"")"),"Facial")</f>
        <v>Facial</v>
      </c>
      <c r="I859" s="3" t="str">
        <f ca="1">IFERROR(__xludf.DUMMYFUNCTION("GOOGLETRANSLATE(C859,""auto"",""en"")"),"T District Nursing")</f>
        <v>T District Nursing</v>
      </c>
    </row>
    <row r="860" spans="1:9" ht="13" x14ac:dyDescent="0.15">
      <c r="A860" s="2" t="s">
        <v>878</v>
      </c>
      <c r="B860" s="2" t="s">
        <v>879</v>
      </c>
      <c r="C860" s="2" t="s">
        <v>890</v>
      </c>
      <c r="D860" s="3">
        <v>627769</v>
      </c>
      <c r="E860" s="3">
        <v>197948</v>
      </c>
      <c r="F860" s="3">
        <v>6083</v>
      </c>
      <c r="G860" s="3" t="s">
        <v>881</v>
      </c>
      <c r="H860" s="3" t="str">
        <f ca="1">IFERROR(__xludf.DUMMYFUNCTION("GOOGLETRANSLATE(B860,""auto"",""en"")"),"Facial")</f>
        <v>Facial</v>
      </c>
      <c r="I860" s="3" t="str">
        <f ca="1">IFERROR(__xludf.DUMMYFUNCTION("GOOGLETRANSLATE(C860,""auto"",""en"")"),"Cream")</f>
        <v>Cream</v>
      </c>
    </row>
    <row r="861" spans="1:9" ht="13" x14ac:dyDescent="0.15">
      <c r="A861" s="2" t="s">
        <v>878</v>
      </c>
      <c r="B861" s="2" t="s">
        <v>879</v>
      </c>
      <c r="C861" s="2" t="s">
        <v>891</v>
      </c>
      <c r="D861" s="3">
        <v>627769</v>
      </c>
      <c r="E861" s="3">
        <v>197948</v>
      </c>
      <c r="F861" s="3">
        <v>4575</v>
      </c>
      <c r="G861" s="3" t="s">
        <v>881</v>
      </c>
      <c r="H861" s="3" t="str">
        <f ca="1">IFERROR(__xludf.DUMMYFUNCTION("GOOGLETRANSLATE(B861,""auto"",""en"")"),"Facial")</f>
        <v>Facial</v>
      </c>
      <c r="I861" s="3" t="str">
        <f ca="1">IFERROR(__xludf.DUMMYFUNCTION("GOOGLETRANSLATE(C861,""auto"",""en"")"),"Cleansing")</f>
        <v>Cleansing</v>
      </c>
    </row>
    <row r="862" spans="1:9" ht="13" x14ac:dyDescent="0.15">
      <c r="A862" s="2" t="s">
        <v>878</v>
      </c>
      <c r="B862" s="2" t="s">
        <v>879</v>
      </c>
      <c r="C862" s="2" t="s">
        <v>892</v>
      </c>
      <c r="D862" s="3">
        <v>627769</v>
      </c>
      <c r="E862" s="3">
        <v>197948</v>
      </c>
      <c r="F862" s="3">
        <v>4046</v>
      </c>
      <c r="G862" s="3" t="s">
        <v>881</v>
      </c>
      <c r="H862" s="3" t="str">
        <f ca="1">IFERROR(__xludf.DUMMYFUNCTION("GOOGLETRANSLATE(B862,""auto"",""en"")"),"Facial")</f>
        <v>Facial</v>
      </c>
      <c r="I862" s="3" t="str">
        <f ca="1">IFERROR(__xludf.DUMMYFUNCTION("GOOGLETRANSLATE(C862,""auto"",""en"")"),"Mask")</f>
        <v>Mask</v>
      </c>
    </row>
    <row r="863" spans="1:9" ht="13" x14ac:dyDescent="0.15">
      <c r="A863" s="2" t="s">
        <v>878</v>
      </c>
      <c r="B863" s="2" t="s">
        <v>879</v>
      </c>
      <c r="C863" s="2" t="s">
        <v>893</v>
      </c>
      <c r="D863" s="3">
        <v>627769</v>
      </c>
      <c r="E863" s="3">
        <v>197948</v>
      </c>
      <c r="F863" s="3">
        <v>3234</v>
      </c>
      <c r="G863" s="3" t="s">
        <v>881</v>
      </c>
      <c r="H863" s="3" t="str">
        <f ca="1">IFERROR(__xludf.DUMMYFUNCTION("GOOGLETRANSLATE(B863,""auto"",""en"")"),"Facial")</f>
        <v>Facial</v>
      </c>
      <c r="I863" s="3" t="str">
        <f ca="1">IFERROR(__xludf.DUMMYFUNCTION("GOOGLETRANSLATE(C863,""auto"",""en"")"),"Exfoliating")</f>
        <v>Exfoliating</v>
      </c>
    </row>
    <row r="864" spans="1:9" ht="13" x14ac:dyDescent="0.15">
      <c r="A864" s="2" t="s">
        <v>878</v>
      </c>
      <c r="B864" s="2" t="s">
        <v>879</v>
      </c>
      <c r="C864" s="2" t="s">
        <v>894</v>
      </c>
      <c r="D864" s="3">
        <v>627769</v>
      </c>
      <c r="E864" s="3">
        <v>197948</v>
      </c>
      <c r="F864" s="3">
        <v>1491</v>
      </c>
      <c r="G864" s="3" t="s">
        <v>881</v>
      </c>
      <c r="H864" s="3" t="str">
        <f ca="1">IFERROR(__xludf.DUMMYFUNCTION("GOOGLETRANSLATE(B864,""auto"",""en"")"),"Facial")</f>
        <v>Facial</v>
      </c>
      <c r="I864" s="3" t="str">
        <f ca="1">IFERROR(__xludf.DUMMYFUNCTION("GOOGLETRANSLATE(C864,""auto"",""en"")"),"spray")</f>
        <v>spray</v>
      </c>
    </row>
    <row r="865" spans="1:9" ht="13" x14ac:dyDescent="0.15">
      <c r="A865" s="2" t="s">
        <v>878</v>
      </c>
      <c r="B865" s="2" t="s">
        <v>879</v>
      </c>
      <c r="C865" s="2" t="s">
        <v>895</v>
      </c>
      <c r="D865" s="3">
        <v>627769</v>
      </c>
      <c r="E865" s="3">
        <v>197948</v>
      </c>
      <c r="F865" s="3">
        <v>1087</v>
      </c>
      <c r="G865" s="3" t="s">
        <v>881</v>
      </c>
      <c r="H865" s="3" t="str">
        <f ca="1">IFERROR(__xludf.DUMMYFUNCTION("GOOGLETRANSLATE(B865,""auto"",""en"")"),"Facial")</f>
        <v>Facial</v>
      </c>
      <c r="I865" s="3" t="str">
        <f ca="1">IFERROR(__xludf.DUMMYFUNCTION("GOOGLETRANSLATE(C865,""auto"",""en"")"),"Eye cream")</f>
        <v>Eye cream</v>
      </c>
    </row>
    <row r="866" spans="1:9" ht="13" x14ac:dyDescent="0.15">
      <c r="A866" s="2" t="s">
        <v>878</v>
      </c>
      <c r="B866" s="2" t="s">
        <v>879</v>
      </c>
      <c r="C866" s="2" t="s">
        <v>896</v>
      </c>
      <c r="D866" s="3">
        <v>627769</v>
      </c>
      <c r="E866" s="3">
        <v>197948</v>
      </c>
      <c r="F866" s="3">
        <v>429</v>
      </c>
      <c r="G866" s="3" t="s">
        <v>881</v>
      </c>
      <c r="H866" s="3" t="str">
        <f ca="1">IFERROR(__xludf.DUMMYFUNCTION("GOOGLETRANSLATE(B866,""auto"",""en"")"),"Facial")</f>
        <v>Facial</v>
      </c>
      <c r="I866" s="3" t="str">
        <f ca="1">IFERROR(__xludf.DUMMYFUNCTION("GOOGLETRANSLATE(C866,""auto"",""en"")"),"Other Eye Care")</f>
        <v>Other Eye Care</v>
      </c>
    </row>
    <row r="867" spans="1:9" ht="13" x14ac:dyDescent="0.15">
      <c r="A867" s="2" t="s">
        <v>878</v>
      </c>
      <c r="B867" s="2" t="s">
        <v>879</v>
      </c>
      <c r="C867" s="2" t="s">
        <v>897</v>
      </c>
      <c r="D867" s="3">
        <v>627769</v>
      </c>
      <c r="E867" s="3">
        <v>197948</v>
      </c>
      <c r="F867" s="3">
        <v>373</v>
      </c>
      <c r="G867" s="3" t="s">
        <v>881</v>
      </c>
      <c r="H867" s="3" t="str">
        <f ca="1">IFERROR(__xludf.DUMMYFUNCTION("GOOGLETRANSLATE(B867,""auto"",""en"")"),"Facial")</f>
        <v>Facial</v>
      </c>
      <c r="I867" s="3" t="str">
        <f ca="1">IFERROR(__xludf.DUMMYFUNCTION("GOOGLETRANSLATE(C867,""auto"",""en"")"),"lip balm")</f>
        <v>lip balm</v>
      </c>
    </row>
    <row r="868" spans="1:9" ht="13" x14ac:dyDescent="0.15">
      <c r="A868" s="2" t="s">
        <v>878</v>
      </c>
      <c r="B868" s="2" t="s">
        <v>879</v>
      </c>
      <c r="C868" s="2" t="s">
        <v>898</v>
      </c>
      <c r="D868" s="3">
        <v>627769</v>
      </c>
      <c r="E868" s="3">
        <v>197948</v>
      </c>
      <c r="F868" s="3">
        <v>263</v>
      </c>
      <c r="G868" s="3" t="s">
        <v>881</v>
      </c>
      <c r="H868" s="3" t="str">
        <f ca="1">IFERROR(__xludf.DUMMYFUNCTION("GOOGLETRANSLATE(B868,""auto"",""en"")"),"Facial")</f>
        <v>Facial</v>
      </c>
      <c r="I868" s="3" t="str">
        <f ca="1">IFERROR(__xludf.DUMMYFUNCTION("GOOGLETRANSLATE(C868,""auto"",""en"")"),"lip mask")</f>
        <v>lip mask</v>
      </c>
    </row>
    <row r="869" spans="1:9" ht="13" x14ac:dyDescent="0.15">
      <c r="A869" s="2" t="s">
        <v>878</v>
      </c>
      <c r="B869" s="2" t="s">
        <v>879</v>
      </c>
      <c r="C869" s="2" t="s">
        <v>899</v>
      </c>
      <c r="D869" s="3">
        <v>627769</v>
      </c>
      <c r="E869" s="3">
        <v>197948</v>
      </c>
      <c r="F869" s="3">
        <v>80</v>
      </c>
      <c r="G869" s="3" t="s">
        <v>881</v>
      </c>
      <c r="H869" s="3" t="str">
        <f ca="1">IFERROR(__xludf.DUMMYFUNCTION("GOOGLETRANSLATE(B869,""auto"",""en"")"),"Facial")</f>
        <v>Facial</v>
      </c>
      <c r="I869" s="3" t="str">
        <f ca="1">IFERROR(__xludf.DUMMYFUNCTION("GOOGLETRANSLATE(C869,""auto"",""en"")"),"Facial Massage Cream")</f>
        <v>Facial Massage Cream</v>
      </c>
    </row>
    <row r="870" spans="1:9" ht="13" x14ac:dyDescent="0.15">
      <c r="A870" s="2" t="s">
        <v>878</v>
      </c>
      <c r="B870" s="2" t="s">
        <v>879</v>
      </c>
      <c r="C870" s="2" t="s">
        <v>900</v>
      </c>
      <c r="D870" s="3">
        <v>627769</v>
      </c>
      <c r="E870" s="3">
        <v>197948</v>
      </c>
      <c r="F870" s="3">
        <v>62</v>
      </c>
      <c r="G870" s="3" t="s">
        <v>881</v>
      </c>
      <c r="H870" s="3" t="str">
        <f ca="1">IFERROR(__xludf.DUMMYFUNCTION("GOOGLETRANSLATE(B870,""auto"",""en"")"),"Facial")</f>
        <v>Facial</v>
      </c>
      <c r="I870" s="3" t="str">
        <f ca="1">IFERROR(__xludf.DUMMYFUNCTION("GOOGLETRANSLATE(C870,""auto"",""en"")"),"Eye Gel")</f>
        <v>Eye Gel</v>
      </c>
    </row>
    <row r="871" spans="1:9" ht="13" x14ac:dyDescent="0.15">
      <c r="A871" s="2" t="s">
        <v>878</v>
      </c>
      <c r="B871" s="2" t="s">
        <v>879</v>
      </c>
      <c r="C871" s="2" t="s">
        <v>901</v>
      </c>
      <c r="D871" s="3">
        <v>627769</v>
      </c>
      <c r="E871" s="3">
        <v>197948</v>
      </c>
      <c r="F871" s="3">
        <v>39</v>
      </c>
      <c r="G871" s="3" t="s">
        <v>881</v>
      </c>
      <c r="H871" s="3" t="str">
        <f ca="1">IFERROR(__xludf.DUMMYFUNCTION("GOOGLETRANSLATE(B871,""auto"",""en"")"),"Facial")</f>
        <v>Facial</v>
      </c>
      <c r="I871" s="3" t="str">
        <f ca="1">IFERROR(__xludf.DUMMYFUNCTION("GOOGLETRANSLATE(C871,""auto"",""en"")"),"Allergy Treatment")</f>
        <v>Allergy Treatment</v>
      </c>
    </row>
    <row r="872" spans="1:9" ht="13" x14ac:dyDescent="0.15">
      <c r="A872" s="2" t="s">
        <v>878</v>
      </c>
      <c r="B872" s="2" t="s">
        <v>879</v>
      </c>
      <c r="C872" s="2" t="s">
        <v>902</v>
      </c>
      <c r="D872" s="3">
        <v>627769</v>
      </c>
      <c r="E872" s="3">
        <v>197948</v>
      </c>
      <c r="F872" s="3">
        <v>12</v>
      </c>
      <c r="G872" s="3" t="s">
        <v>881</v>
      </c>
      <c r="H872" s="3" t="str">
        <f ca="1">IFERROR(__xludf.DUMMYFUNCTION("GOOGLETRANSLATE(B872,""auto"",""en"")"),"Facial")</f>
        <v>Facial</v>
      </c>
      <c r="I872" s="3" t="str">
        <f ca="1">IFERROR(__xludf.DUMMYFUNCTION("GOOGLETRANSLATE(C872,""auto"",""en"")"),"Other Lip Care")</f>
        <v>Other Lip Care</v>
      </c>
    </row>
    <row r="873" spans="1:9" ht="13" x14ac:dyDescent="0.15">
      <c r="A873" s="2" t="s">
        <v>878</v>
      </c>
      <c r="B873" s="2" t="s">
        <v>879</v>
      </c>
      <c r="C873" s="2" t="s">
        <v>903</v>
      </c>
      <c r="D873" s="3">
        <v>627769</v>
      </c>
      <c r="E873" s="3">
        <v>197948</v>
      </c>
      <c r="F873" s="3">
        <v>5</v>
      </c>
      <c r="G873" s="3" t="s">
        <v>881</v>
      </c>
      <c r="H873" s="3" t="str">
        <f ca="1">IFERROR(__xludf.DUMMYFUNCTION("GOOGLETRANSLATE(B873,""auto"",""en"")"),"Facial")</f>
        <v>Facial</v>
      </c>
      <c r="I873" s="3" t="str">
        <f ca="1">IFERROR(__xludf.DUMMYFUNCTION("GOOGLETRANSLATE(C873,""auto"",""en"")"),"Lip Scrub")</f>
        <v>Lip Scrub</v>
      </c>
    </row>
    <row r="874" spans="1:9" ht="13" x14ac:dyDescent="0.15">
      <c r="A874" s="2" t="s">
        <v>878</v>
      </c>
      <c r="B874" s="2" t="s">
        <v>904</v>
      </c>
      <c r="C874" s="2" t="s">
        <v>905</v>
      </c>
      <c r="D874" s="3">
        <v>627769</v>
      </c>
      <c r="E874" s="3">
        <v>130680</v>
      </c>
      <c r="F874" s="3">
        <v>47496</v>
      </c>
      <c r="G874" s="3" t="s">
        <v>881</v>
      </c>
      <c r="H874" s="3" t="str">
        <f ca="1">IFERROR(__xludf.DUMMYFUNCTION("GOOGLETRANSLATE(B874,""auto"",""en"")"),"Makeup perfume")</f>
        <v>Makeup perfume</v>
      </c>
      <c r="I874" s="3" t="str">
        <f ca="1">IFERROR(__xludf.DUMMYFUNCTION("GOOGLETRANSLATE(C874,""auto"",""en"")"),"Lipstick / lipstick")</f>
        <v>Lipstick / lipstick</v>
      </c>
    </row>
    <row r="875" spans="1:9" ht="13" x14ac:dyDescent="0.15">
      <c r="A875" s="2" t="s">
        <v>878</v>
      </c>
      <c r="B875" s="2" t="s">
        <v>904</v>
      </c>
      <c r="C875" s="2" t="s">
        <v>906</v>
      </c>
      <c r="D875" s="3">
        <v>627769</v>
      </c>
      <c r="E875" s="3">
        <v>130680</v>
      </c>
      <c r="F875" s="3">
        <v>24395</v>
      </c>
      <c r="G875" s="3" t="s">
        <v>881</v>
      </c>
      <c r="H875" s="3" t="str">
        <f ca="1">IFERROR(__xludf.DUMMYFUNCTION("GOOGLETRANSLATE(B875,""auto"",""en"")"),"Makeup perfume")</f>
        <v>Makeup perfume</v>
      </c>
      <c r="I875" s="3" t="str">
        <f ca="1">IFERROR(__xludf.DUMMYFUNCTION("GOOGLETRANSLATE(C875,""auto"",""en"")"),"Pencil / eyebrow / eyebrow cream")</f>
        <v>Pencil / eyebrow / eyebrow cream</v>
      </c>
    </row>
    <row r="876" spans="1:9" ht="13" x14ac:dyDescent="0.15">
      <c r="A876" s="2" t="s">
        <v>878</v>
      </c>
      <c r="B876" s="2" t="s">
        <v>904</v>
      </c>
      <c r="C876" s="2" t="s">
        <v>907</v>
      </c>
      <c r="D876" s="3">
        <v>627769</v>
      </c>
      <c r="E876" s="3">
        <v>130680</v>
      </c>
      <c r="F876" s="3">
        <v>12340</v>
      </c>
      <c r="G876" s="3" t="s">
        <v>881</v>
      </c>
      <c r="H876" s="3" t="str">
        <f ca="1">IFERROR(__xludf.DUMMYFUNCTION("GOOGLETRANSLATE(B876,""auto"",""en"")"),"Makeup perfume")</f>
        <v>Makeup perfume</v>
      </c>
      <c r="I876" s="3" t="str">
        <f ca="1">IFERROR(__xludf.DUMMYFUNCTION("GOOGLETRANSLATE(C876,""auto"",""en"")"),"Nail Polish")</f>
        <v>Nail Polish</v>
      </c>
    </row>
    <row r="877" spans="1:9" ht="13" x14ac:dyDescent="0.15">
      <c r="A877" s="2" t="s">
        <v>878</v>
      </c>
      <c r="B877" s="2" t="s">
        <v>904</v>
      </c>
      <c r="C877" s="3" t="s">
        <v>908</v>
      </c>
      <c r="D877" s="3">
        <v>627769</v>
      </c>
      <c r="E877" s="3">
        <v>130680</v>
      </c>
      <c r="F877" s="3">
        <v>11226</v>
      </c>
      <c r="G877" s="3" t="s">
        <v>881</v>
      </c>
      <c r="H877" s="3" t="str">
        <f ca="1">IFERROR(__xludf.DUMMYFUNCTION("GOOGLETRANSLATE(B877,""auto"",""en"")"),"Makeup perfume")</f>
        <v>Makeup perfume</v>
      </c>
      <c r="I877" s="3" t="str">
        <f ca="1">IFERROR(__xludf.DUMMYFUNCTION("GOOGLETRANSLATE(C877,""auto"",""en"")"),"Cream BB / CC Cream")</f>
        <v>Cream BB / CC Cream</v>
      </c>
    </row>
    <row r="878" spans="1:9" ht="13" x14ac:dyDescent="0.15">
      <c r="A878" s="2" t="s">
        <v>878</v>
      </c>
      <c r="B878" s="2" t="s">
        <v>904</v>
      </c>
      <c r="C878" s="2" t="s">
        <v>909</v>
      </c>
      <c r="D878" s="3">
        <v>627769</v>
      </c>
      <c r="E878" s="3">
        <v>130680</v>
      </c>
      <c r="F878" s="3">
        <v>10706</v>
      </c>
      <c r="G878" s="3" t="s">
        <v>881</v>
      </c>
      <c r="H878" s="3" t="str">
        <f ca="1">IFERROR(__xludf.DUMMYFUNCTION("GOOGLETRANSLATE(B878,""auto"",""en"")"),"Makeup perfume")</f>
        <v>Makeup perfume</v>
      </c>
      <c r="I878" s="3" t="str">
        <f ca="1">IFERROR(__xludf.DUMMYFUNCTION("GOOGLETRANSLATE(C878,""auto"",""en"")"),"Perfume")</f>
        <v>Perfume</v>
      </c>
    </row>
    <row r="879" spans="1:9" ht="13" x14ac:dyDescent="0.15">
      <c r="A879" s="2" t="s">
        <v>878</v>
      </c>
      <c r="B879" s="2" t="s">
        <v>904</v>
      </c>
      <c r="C879" s="2" t="s">
        <v>910</v>
      </c>
      <c r="D879" s="3">
        <v>627769</v>
      </c>
      <c r="E879" s="3">
        <v>130680</v>
      </c>
      <c r="F879" s="3">
        <v>4171</v>
      </c>
      <c r="G879" s="3" t="s">
        <v>881</v>
      </c>
      <c r="H879" s="3" t="str">
        <f ca="1">IFERROR(__xludf.DUMMYFUNCTION("GOOGLETRANSLATE(B879,""auto"",""en"")"),"Makeup perfume")</f>
        <v>Makeup perfume</v>
      </c>
      <c r="I879" s="3" t="str">
        <f ca="1">IFERROR(__xludf.DUMMYFUNCTION("GOOGLETRANSLATE(C879,""auto"",""en"")"),"Eyeliner")</f>
        <v>Eyeliner</v>
      </c>
    </row>
    <row r="880" spans="1:9" ht="13" x14ac:dyDescent="0.15">
      <c r="A880" s="2" t="s">
        <v>878</v>
      </c>
      <c r="B880" s="2" t="s">
        <v>904</v>
      </c>
      <c r="C880" s="2" t="s">
        <v>911</v>
      </c>
      <c r="D880" s="3">
        <v>627769</v>
      </c>
      <c r="E880" s="3">
        <v>130680</v>
      </c>
      <c r="F880" s="3">
        <v>3071</v>
      </c>
      <c r="G880" s="3" t="s">
        <v>881</v>
      </c>
      <c r="H880" s="3" t="str">
        <f ca="1">IFERROR(__xludf.DUMMYFUNCTION("GOOGLETRANSLATE(B880,""auto"",""en"")"),"Makeup perfume")</f>
        <v>Makeup perfume</v>
      </c>
      <c r="I880" s="3" t="str">
        <f ca="1">IFERROR(__xludf.DUMMYFUNCTION("GOOGLETRANSLATE(C880,""auto"",""en"")"),"Eye Shadow")</f>
        <v>Eye Shadow</v>
      </c>
    </row>
    <row r="881" spans="1:9" ht="13" x14ac:dyDescent="0.15">
      <c r="A881" s="2" t="s">
        <v>878</v>
      </c>
      <c r="B881" s="2" t="s">
        <v>904</v>
      </c>
      <c r="C881" s="2" t="s">
        <v>912</v>
      </c>
      <c r="D881" s="3">
        <v>627769</v>
      </c>
      <c r="E881" s="3">
        <v>130680</v>
      </c>
      <c r="F881" s="3">
        <v>2987</v>
      </c>
      <c r="G881" s="3" t="s">
        <v>881</v>
      </c>
      <c r="H881" s="3" t="str">
        <f ca="1">IFERROR(__xludf.DUMMYFUNCTION("GOOGLETRANSLATE(B881,""auto"",""en"")"),"Makeup perfume")</f>
        <v>Makeup perfume</v>
      </c>
      <c r="I881" s="3" t="str">
        <f ca="1">IFERROR(__xludf.DUMMYFUNCTION("GOOGLETRANSLATE(C881,""auto"",""en"")"),"Mascara / eyelash growth medium")</f>
        <v>Mascara / eyelash growth medium</v>
      </c>
    </row>
    <row r="882" spans="1:9" ht="13" x14ac:dyDescent="0.15">
      <c r="A882" s="2" t="s">
        <v>878</v>
      </c>
      <c r="B882" s="2" t="s">
        <v>904</v>
      </c>
      <c r="C882" s="2" t="s">
        <v>913</v>
      </c>
      <c r="D882" s="3">
        <v>627769</v>
      </c>
      <c r="E882" s="3">
        <v>130680</v>
      </c>
      <c r="F882" s="3">
        <v>2799</v>
      </c>
      <c r="G882" s="3" t="s">
        <v>881</v>
      </c>
      <c r="H882" s="3" t="str">
        <f ca="1">IFERROR(__xludf.DUMMYFUNCTION("GOOGLETRANSLATE(B882,""auto"",""en"")"),"Makeup perfume")</f>
        <v>Makeup perfume</v>
      </c>
      <c r="I882" s="3" t="str">
        <f ca="1">IFERROR(__xludf.DUMMYFUNCTION("GOOGLETRANSLATE(C882,""auto"",""en"")"),"Isolation / makeup before")</f>
        <v>Isolation / makeup before</v>
      </c>
    </row>
    <row r="883" spans="1:9" ht="13" x14ac:dyDescent="0.15">
      <c r="A883" s="2" t="s">
        <v>878</v>
      </c>
      <c r="B883" s="2" t="s">
        <v>904</v>
      </c>
      <c r="C883" s="2" t="s">
        <v>914</v>
      </c>
      <c r="D883" s="3">
        <v>627769</v>
      </c>
      <c r="E883" s="3">
        <v>130680</v>
      </c>
      <c r="F883" s="3">
        <v>2722</v>
      </c>
      <c r="G883" s="3" t="s">
        <v>881</v>
      </c>
      <c r="H883" s="3" t="str">
        <f ca="1">IFERROR(__xludf.DUMMYFUNCTION("GOOGLETRANSLATE(B883,""auto"",""en"")"),"Makeup perfume")</f>
        <v>Makeup perfume</v>
      </c>
      <c r="I883" s="3" t="str">
        <f ca="1">IFERROR(__xludf.DUMMYFUNCTION("GOOGLETRANSLATE(C883,""auto"",""en"")"),"make up kit")</f>
        <v>make up kit</v>
      </c>
    </row>
    <row r="884" spans="1:9" ht="13" x14ac:dyDescent="0.15">
      <c r="A884" s="2" t="s">
        <v>878</v>
      </c>
      <c r="B884" s="2" t="s">
        <v>904</v>
      </c>
      <c r="C884" s="2" t="s">
        <v>915</v>
      </c>
      <c r="D884" s="3">
        <v>627769</v>
      </c>
      <c r="E884" s="3">
        <v>130680</v>
      </c>
      <c r="F884" s="3">
        <v>2217</v>
      </c>
      <c r="G884" s="3" t="s">
        <v>881</v>
      </c>
      <c r="H884" s="3" t="str">
        <f ca="1">IFERROR(__xludf.DUMMYFUNCTION("GOOGLETRANSLATE(B884,""auto"",""en"")"),"Makeup perfume")</f>
        <v>Makeup perfume</v>
      </c>
      <c r="I884" s="3" t="str">
        <f ca="1">IFERROR(__xludf.DUMMYFUNCTION("GOOGLETRANSLATE(C884,""auto"",""en"")"),"Lip gloss / lip gloss")</f>
        <v>Lip gloss / lip gloss</v>
      </c>
    </row>
    <row r="885" spans="1:9" ht="13" x14ac:dyDescent="0.15">
      <c r="A885" s="2" t="s">
        <v>878</v>
      </c>
      <c r="B885" s="2" t="s">
        <v>904</v>
      </c>
      <c r="C885" s="2" t="s">
        <v>916</v>
      </c>
      <c r="D885" s="3">
        <v>627769</v>
      </c>
      <c r="E885" s="3">
        <v>130680</v>
      </c>
      <c r="F885" s="3">
        <v>1629</v>
      </c>
      <c r="G885" s="3" t="s">
        <v>881</v>
      </c>
      <c r="H885" s="3" t="str">
        <f ca="1">IFERROR(__xludf.DUMMYFUNCTION("GOOGLETRANSLATE(B885,""auto"",""en"")"),"Makeup perfume")</f>
        <v>Makeup perfume</v>
      </c>
      <c r="I885" s="3" t="str">
        <f ca="1">IFERROR(__xludf.DUMMYFUNCTION("GOOGLETRANSLATE(C885,""auto"",""en"")"),"Powder")</f>
        <v>Powder</v>
      </c>
    </row>
    <row r="886" spans="1:9" ht="13" x14ac:dyDescent="0.15">
      <c r="A886" s="2" t="s">
        <v>878</v>
      </c>
      <c r="B886" s="2" t="s">
        <v>904</v>
      </c>
      <c r="C886" s="2" t="s">
        <v>917</v>
      </c>
      <c r="D886" s="3">
        <v>627769</v>
      </c>
      <c r="E886" s="3">
        <v>130680</v>
      </c>
      <c r="F886" s="3">
        <v>1168</v>
      </c>
      <c r="G886" s="3" t="s">
        <v>881</v>
      </c>
      <c r="H886" s="3" t="str">
        <f ca="1">IFERROR(__xludf.DUMMYFUNCTION("GOOGLETRANSLATE(B886,""auto"",""en"")"),"Makeup perfume")</f>
        <v>Makeup perfume</v>
      </c>
      <c r="I886" s="3" t="str">
        <f ca="1">IFERROR(__xludf.DUMMYFUNCTION("GOOGLETRANSLATE(C886,""auto"",""en"")"),"Powder / Loose powder")</f>
        <v>Powder / Loose powder</v>
      </c>
    </row>
    <row r="887" spans="1:9" ht="13" x14ac:dyDescent="0.15">
      <c r="A887" s="2" t="s">
        <v>878</v>
      </c>
      <c r="B887" s="2" t="s">
        <v>904</v>
      </c>
      <c r="C887" s="2" t="s">
        <v>918</v>
      </c>
      <c r="D887" s="3">
        <v>627769</v>
      </c>
      <c r="E887" s="3">
        <v>130680</v>
      </c>
      <c r="F887" s="3">
        <v>697</v>
      </c>
      <c r="G887" s="3" t="s">
        <v>881</v>
      </c>
      <c r="H887" s="3" t="str">
        <f ca="1">IFERROR(__xludf.DUMMYFUNCTION("GOOGLETRANSLATE(B887,""auto"",""en"")"),"Makeup perfume")</f>
        <v>Makeup perfume</v>
      </c>
      <c r="I887" s="3" t="str">
        <f ca="1">IFERROR(__xludf.DUMMYFUNCTION("GOOGLETRANSLATE(C887,""auto"",""en"")"),"Blush / rouge")</f>
        <v>Blush / rouge</v>
      </c>
    </row>
    <row r="888" spans="1:9" ht="13" x14ac:dyDescent="0.15">
      <c r="A888" s="2" t="s">
        <v>878</v>
      </c>
      <c r="B888" s="2" t="s">
        <v>904</v>
      </c>
      <c r="C888" s="2" t="s">
        <v>919</v>
      </c>
      <c r="D888" s="3">
        <v>627769</v>
      </c>
      <c r="E888" s="3">
        <v>130680</v>
      </c>
      <c r="F888" s="3">
        <v>650</v>
      </c>
      <c r="G888" s="3" t="s">
        <v>881</v>
      </c>
      <c r="H888" s="3" t="str">
        <f ca="1">IFERROR(__xludf.DUMMYFUNCTION("GOOGLETRANSLATE(B888,""auto"",""en"")"),"Makeup perfume")</f>
        <v>Makeup perfume</v>
      </c>
      <c r="I888" s="3" t="str">
        <f ca="1">IFERROR(__xludf.DUMMYFUNCTION("GOOGLETRANSLATE(C888,""auto"",""en"")"),"Concealer")</f>
        <v>Concealer</v>
      </c>
    </row>
    <row r="889" spans="1:9" ht="13" x14ac:dyDescent="0.15">
      <c r="A889" s="2" t="s">
        <v>878</v>
      </c>
      <c r="B889" s="2" t="s">
        <v>904</v>
      </c>
      <c r="C889" s="2" t="s">
        <v>920</v>
      </c>
      <c r="D889" s="3">
        <v>627769</v>
      </c>
      <c r="E889" s="3">
        <v>130680</v>
      </c>
      <c r="F889" s="3">
        <v>635</v>
      </c>
      <c r="G889" s="3" t="s">
        <v>881</v>
      </c>
      <c r="H889" s="3" t="str">
        <f ca="1">IFERROR(__xludf.DUMMYFUNCTION("GOOGLETRANSLATE(B889,""auto"",""en"")"),"Makeup perfume")</f>
        <v>Makeup perfume</v>
      </c>
      <c r="I889" s="3" t="str">
        <f ca="1">IFERROR(__xludf.DUMMYFUNCTION("GOOGLETRANSLATE(C889,""auto"",""en"")"),"Repair Yen / Highlight")</f>
        <v>Repair Yen / Highlight</v>
      </c>
    </row>
    <row r="890" spans="1:9" ht="13" x14ac:dyDescent="0.15">
      <c r="A890" s="2" t="s">
        <v>878</v>
      </c>
      <c r="B890" s="2" t="s">
        <v>904</v>
      </c>
      <c r="C890" s="2" t="s">
        <v>921</v>
      </c>
      <c r="D890" s="3">
        <v>627769</v>
      </c>
      <c r="E890" s="3">
        <v>130680</v>
      </c>
      <c r="F890" s="3">
        <v>612</v>
      </c>
      <c r="G890" s="3" t="s">
        <v>881</v>
      </c>
      <c r="H890" s="3" t="str">
        <f ca="1">IFERROR(__xludf.DUMMYFUNCTION("GOOGLETRANSLATE(B890,""auto"",""en"")"),"Makeup perfume")</f>
        <v>Makeup perfume</v>
      </c>
      <c r="I890" s="3" t="str">
        <f ca="1">IFERROR(__xludf.DUMMYFUNCTION("GOOGLETRANSLATE(C890,""auto"",""en"")"),"Fragrance")</f>
        <v>Fragrance</v>
      </c>
    </row>
    <row r="891" spans="1:9" ht="13" x14ac:dyDescent="0.15">
      <c r="A891" s="2" t="s">
        <v>878</v>
      </c>
      <c r="B891" s="2" t="s">
        <v>904</v>
      </c>
      <c r="C891" s="2" t="s">
        <v>922</v>
      </c>
      <c r="D891" s="3">
        <v>627769</v>
      </c>
      <c r="E891" s="3">
        <v>130680</v>
      </c>
      <c r="F891" s="3">
        <v>531</v>
      </c>
      <c r="G891" s="3" t="s">
        <v>881</v>
      </c>
      <c r="H891" s="3" t="str">
        <f ca="1">IFERROR(__xludf.DUMMYFUNCTION("GOOGLETRANSLATE(B891,""auto"",""en"")"),"Makeup perfume")</f>
        <v>Makeup perfume</v>
      </c>
      <c r="I891" s="3" t="str">
        <f ca="1">IFERROR(__xludf.DUMMYFUNCTION("GOOGLETRANSLATE(C891,""auto"",""en"")"),"Foundation")</f>
        <v>Foundation</v>
      </c>
    </row>
    <row r="892" spans="1:9" ht="13" x14ac:dyDescent="0.15">
      <c r="A892" s="2" t="s">
        <v>878</v>
      </c>
      <c r="B892" s="2" t="s">
        <v>904</v>
      </c>
      <c r="C892" s="2" t="s">
        <v>923</v>
      </c>
      <c r="D892" s="3">
        <v>627769</v>
      </c>
      <c r="E892" s="3">
        <v>130680</v>
      </c>
      <c r="F892" s="3">
        <v>283</v>
      </c>
      <c r="G892" s="3" t="s">
        <v>881</v>
      </c>
      <c r="H892" s="3" t="str">
        <f ca="1">IFERROR(__xludf.DUMMYFUNCTION("GOOGLETRANSLATE(B892,""auto"",""en"")"),"Makeup perfume")</f>
        <v>Makeup perfume</v>
      </c>
      <c r="I892" s="3" t="str">
        <f ca="1">IFERROR(__xludf.DUMMYFUNCTION("GOOGLETRANSLATE(C892,""auto"",""en"")"),"Neutral perfume")</f>
        <v>Neutral perfume</v>
      </c>
    </row>
    <row r="893" spans="1:9" ht="13" x14ac:dyDescent="0.15">
      <c r="A893" s="2" t="s">
        <v>878</v>
      </c>
      <c r="B893" s="2" t="s">
        <v>904</v>
      </c>
      <c r="C893" s="2" t="s">
        <v>924</v>
      </c>
      <c r="D893" s="3">
        <v>627769</v>
      </c>
      <c r="E893" s="3">
        <v>130680</v>
      </c>
      <c r="F893" s="3">
        <v>96</v>
      </c>
      <c r="G893" s="3" t="s">
        <v>881</v>
      </c>
      <c r="H893" s="3" t="str">
        <f ca="1">IFERROR(__xludf.DUMMYFUNCTION("GOOGLETRANSLATE(B893,""auto"",""en"")"),"Makeup perfume")</f>
        <v>Makeup perfume</v>
      </c>
      <c r="I893" s="3" t="str">
        <f ca="1">IFERROR(__xludf.DUMMYFUNCTION("GOOGLETRANSLATE(C893,""auto"",""en"")"),"Lip liner / lip liner")</f>
        <v>Lip liner / lip liner</v>
      </c>
    </row>
    <row r="894" spans="1:9" ht="13" x14ac:dyDescent="0.15">
      <c r="A894" s="2" t="s">
        <v>878</v>
      </c>
      <c r="B894" s="2" t="s">
        <v>904</v>
      </c>
      <c r="C894" s="2" t="s">
        <v>925</v>
      </c>
      <c r="D894" s="3">
        <v>627769</v>
      </c>
      <c r="E894" s="3">
        <v>130680</v>
      </c>
      <c r="F894" s="3">
        <v>80</v>
      </c>
      <c r="G894" s="3" t="s">
        <v>881</v>
      </c>
      <c r="H894" s="3" t="str">
        <f ca="1">IFERROR(__xludf.DUMMYFUNCTION("GOOGLETRANSLATE(B894,""auto"",""en"")"),"Makeup perfume")</f>
        <v>Makeup perfume</v>
      </c>
      <c r="I894" s="3" t="str">
        <f ca="1">IFERROR(__xludf.DUMMYFUNCTION("GOOGLETRANSLATE(C894,""auto"",""en"")"),"Other perfume")</f>
        <v>Other perfume</v>
      </c>
    </row>
    <row r="895" spans="1:9" ht="13" x14ac:dyDescent="0.15">
      <c r="A895" s="2" t="s">
        <v>878</v>
      </c>
      <c r="B895" s="2" t="s">
        <v>904</v>
      </c>
      <c r="C895" s="2" t="s">
        <v>926</v>
      </c>
      <c r="D895" s="3">
        <v>627769</v>
      </c>
      <c r="E895" s="3">
        <v>130680</v>
      </c>
      <c r="F895" s="3">
        <v>60</v>
      </c>
      <c r="G895" s="3" t="s">
        <v>881</v>
      </c>
      <c r="H895" s="3" t="str">
        <f ca="1">IFERROR(__xludf.DUMMYFUNCTION("GOOGLETRANSLATE(B895,""auto"",""en"")"),"Makeup perfume")</f>
        <v>Makeup perfume</v>
      </c>
      <c r="I895" s="3" t="str">
        <f ca="1">IFERROR(__xludf.DUMMYFUNCTION("GOOGLETRANSLATE(C895,""auto"",""en"")"),"Makeup Palette")</f>
        <v>Makeup Palette</v>
      </c>
    </row>
    <row r="896" spans="1:9" ht="13" x14ac:dyDescent="0.15">
      <c r="A896" s="2" t="s">
        <v>878</v>
      </c>
      <c r="B896" s="2" t="s">
        <v>904</v>
      </c>
      <c r="C896" s="2" t="s">
        <v>927</v>
      </c>
      <c r="D896" s="3">
        <v>627769</v>
      </c>
      <c r="E896" s="3">
        <v>130680</v>
      </c>
      <c r="F896" s="3">
        <v>52</v>
      </c>
      <c r="G896" s="3" t="s">
        <v>881</v>
      </c>
      <c r="H896" s="3" t="str">
        <f ca="1">IFERROR(__xludf.DUMMYFUNCTION("GOOGLETRANSLATE(B896,""auto"",""en"")"),"Makeup perfume")</f>
        <v>Makeup perfume</v>
      </c>
      <c r="I896" s="3" t="str">
        <f ca="1">IFERROR(__xludf.DUMMYFUNCTION("GOOGLETRANSLATE(C896,""auto"",""en"")"),"perfume for men")</f>
        <v>perfume for men</v>
      </c>
    </row>
    <row r="897" spans="1:9" ht="13" x14ac:dyDescent="0.15">
      <c r="A897" s="2" t="s">
        <v>878</v>
      </c>
      <c r="B897" s="2" t="s">
        <v>904</v>
      </c>
      <c r="C897" s="2" t="s">
        <v>928</v>
      </c>
      <c r="D897" s="3">
        <v>627769</v>
      </c>
      <c r="E897" s="3">
        <v>130680</v>
      </c>
      <c r="F897" s="3">
        <v>51</v>
      </c>
      <c r="G897" s="3" t="s">
        <v>881</v>
      </c>
      <c r="H897" s="3" t="str">
        <f ca="1">IFERROR(__xludf.DUMMYFUNCTION("GOOGLETRANSLATE(B897,""auto"",""en"")"),"Makeup perfume")</f>
        <v>Makeup perfume</v>
      </c>
      <c r="I897" s="3" t="str">
        <f ca="1">IFERROR(__xludf.DUMMYFUNCTION("GOOGLETRANSLATE(C897,""auto"",""en"")"),"Nail")</f>
        <v>Nail</v>
      </c>
    </row>
    <row r="898" spans="1:9" ht="13" x14ac:dyDescent="0.15">
      <c r="A898" s="2" t="s">
        <v>878</v>
      </c>
      <c r="B898" s="2" t="s">
        <v>904</v>
      </c>
      <c r="C898" s="2" t="s">
        <v>929</v>
      </c>
      <c r="D898" s="3">
        <v>627769</v>
      </c>
      <c r="E898" s="3">
        <v>130680</v>
      </c>
      <c r="F898" s="3">
        <v>4</v>
      </c>
      <c r="G898" s="3" t="s">
        <v>881</v>
      </c>
      <c r="H898" s="3" t="str">
        <f ca="1">IFERROR(__xludf.DUMMYFUNCTION("GOOGLETRANSLATE(B898,""auto"",""en"")"),"Makeup perfume")</f>
        <v>Makeup perfume</v>
      </c>
      <c r="I898" s="3" t="str">
        <f ca="1">IFERROR(__xludf.DUMMYFUNCTION("GOOGLETRANSLATE(C898,""auto"",""en"")"),"Other nail products")</f>
        <v>Other nail products</v>
      </c>
    </row>
    <row r="899" spans="1:9" ht="13" x14ac:dyDescent="0.15">
      <c r="A899" s="2" t="s">
        <v>878</v>
      </c>
      <c r="B899" s="2" t="s">
        <v>904</v>
      </c>
      <c r="C899" s="2" t="s">
        <v>930</v>
      </c>
      <c r="D899" s="3">
        <v>627769</v>
      </c>
      <c r="E899" s="3">
        <v>130680</v>
      </c>
      <c r="F899" s="3">
        <v>2</v>
      </c>
      <c r="G899" s="3" t="s">
        <v>881</v>
      </c>
      <c r="H899" s="3" t="str">
        <f ca="1">IFERROR(__xludf.DUMMYFUNCTION("GOOGLETRANSLATE(B899,""auto"",""en"")"),"Makeup perfume")</f>
        <v>Makeup perfume</v>
      </c>
      <c r="I899" s="3" t="str">
        <f ca="1">IFERROR(__xludf.DUMMYFUNCTION("GOOGLETRANSLATE(C899,""auto"",""en"")"),"Nutrition Primer")</f>
        <v>Nutrition Primer</v>
      </c>
    </row>
    <row r="900" spans="1:9" ht="13" x14ac:dyDescent="0.15">
      <c r="A900" s="2" t="s">
        <v>878</v>
      </c>
      <c r="B900" s="2" t="s">
        <v>904</v>
      </c>
      <c r="C900" s="2" t="s">
        <v>931</v>
      </c>
      <c r="D900" s="3">
        <v>627769</v>
      </c>
      <c r="E900" s="3">
        <v>130680</v>
      </c>
      <c r="F900" s="3">
        <v>1</v>
      </c>
      <c r="G900" s="3" t="s">
        <v>881</v>
      </c>
      <c r="H900" s="3" t="str">
        <f ca="1">IFERROR(__xludf.DUMMYFUNCTION("GOOGLETRANSLATE(B900,""auto"",""en"")"),"Makeup perfume")</f>
        <v>Makeup perfume</v>
      </c>
      <c r="I900" s="3" t="str">
        <f ca="1">IFERROR(__xludf.DUMMYFUNCTION("GOOGLETRANSLATE(C900,""auto"",""en"")"),"Nail polish")</f>
        <v>Nail polish</v>
      </c>
    </row>
    <row r="901" spans="1:9" ht="13" x14ac:dyDescent="0.15">
      <c r="A901" s="2" t="s">
        <v>878</v>
      </c>
      <c r="B901" s="2" t="s">
        <v>932</v>
      </c>
      <c r="C901" s="2" t="s">
        <v>701</v>
      </c>
      <c r="D901" s="3">
        <v>627769</v>
      </c>
      <c r="E901" s="3">
        <v>67181</v>
      </c>
      <c r="F901" s="3">
        <v>41101</v>
      </c>
      <c r="G901" s="3" t="s">
        <v>881</v>
      </c>
      <c r="H901" s="3" t="str">
        <f ca="1">IFERROR(__xludf.DUMMYFUNCTION("GOOGLETRANSLATE(B901,""auto"",""en"")"),"Body Cleansing")</f>
        <v>Body Cleansing</v>
      </c>
      <c r="I901" s="3" t="str">
        <f ca="1">IFERROR(__xludf.DUMMYFUNCTION("GOOGLETRANSLATE(C901,""auto"",""en"")"),"Shower Gel")</f>
        <v>Shower Gel</v>
      </c>
    </row>
    <row r="902" spans="1:9" ht="13" x14ac:dyDescent="0.15">
      <c r="A902" s="2" t="s">
        <v>878</v>
      </c>
      <c r="B902" s="2" t="s">
        <v>932</v>
      </c>
      <c r="C902" s="2" t="s">
        <v>933</v>
      </c>
      <c r="D902" s="3">
        <v>627769</v>
      </c>
      <c r="E902" s="3">
        <v>67181</v>
      </c>
      <c r="F902" s="3">
        <v>21980</v>
      </c>
      <c r="G902" s="3" t="s">
        <v>881</v>
      </c>
      <c r="H902" s="3" t="str">
        <f ca="1">IFERROR(__xludf.DUMMYFUNCTION("GOOGLETRANSLATE(B902,""auto"",""en"")"),"Body Cleansing")</f>
        <v>Body Cleansing</v>
      </c>
      <c r="I902" s="3" t="str">
        <f ca="1">IFERROR(__xludf.DUMMYFUNCTION("GOOGLETRANSLATE(C902,""auto"",""en"")"),"Toilet soap")</f>
        <v>Toilet soap</v>
      </c>
    </row>
    <row r="903" spans="1:9" ht="13" x14ac:dyDescent="0.15">
      <c r="A903" s="2" t="s">
        <v>878</v>
      </c>
      <c r="B903" s="2" t="s">
        <v>932</v>
      </c>
      <c r="C903" s="2" t="s">
        <v>934</v>
      </c>
      <c r="D903" s="3">
        <v>627769</v>
      </c>
      <c r="E903" s="3">
        <v>67181</v>
      </c>
      <c r="F903" s="3">
        <v>1510</v>
      </c>
      <c r="G903" s="3" t="s">
        <v>881</v>
      </c>
      <c r="H903" s="3" t="str">
        <f ca="1">IFERROR(__xludf.DUMMYFUNCTION("GOOGLETRANSLATE(B903,""auto"",""en"")"),"Body Cleansing")</f>
        <v>Body Cleansing</v>
      </c>
      <c r="I903" s="3" t="str">
        <f ca="1">IFERROR(__xludf.DUMMYFUNCTION("GOOGLETRANSLATE(C903,""auto"",""en"")"),"Private parts lotion")</f>
        <v>Private parts lotion</v>
      </c>
    </row>
    <row r="904" spans="1:9" ht="13" x14ac:dyDescent="0.15">
      <c r="A904" s="2" t="s">
        <v>878</v>
      </c>
      <c r="B904" s="2" t="s">
        <v>932</v>
      </c>
      <c r="C904" s="2" t="s">
        <v>698</v>
      </c>
      <c r="D904" s="3">
        <v>627769</v>
      </c>
      <c r="E904" s="3">
        <v>67181</v>
      </c>
      <c r="F904" s="3">
        <v>841</v>
      </c>
      <c r="G904" s="3" t="s">
        <v>881</v>
      </c>
      <c r="H904" s="3" t="str">
        <f ca="1">IFERROR(__xludf.DUMMYFUNCTION("GOOGLETRANSLATE(B904,""auto"",""en"")"),"Body Cleansing")</f>
        <v>Body Cleansing</v>
      </c>
      <c r="I904" s="3" t="str">
        <f ca="1">IFERROR(__xludf.DUMMYFUNCTION("GOOGLETRANSLATE(C904,""auto"",""en"")"),"handwashing fluid")</f>
        <v>handwashing fluid</v>
      </c>
    </row>
    <row r="905" spans="1:9" ht="13" x14ac:dyDescent="0.15">
      <c r="A905" s="2" t="s">
        <v>878</v>
      </c>
      <c r="B905" s="2" t="s">
        <v>932</v>
      </c>
      <c r="C905" s="2" t="s">
        <v>92</v>
      </c>
      <c r="D905" s="3">
        <v>627769</v>
      </c>
      <c r="E905" s="3">
        <v>67181</v>
      </c>
      <c r="F905" s="3">
        <v>781</v>
      </c>
      <c r="G905" s="3" t="s">
        <v>881</v>
      </c>
      <c r="H905" s="3" t="str">
        <f ca="1">IFERROR(__xludf.DUMMYFUNCTION("GOOGLETRANSLATE(B905,""auto"",""en"")"),"Body Cleansing")</f>
        <v>Body Cleansing</v>
      </c>
      <c r="I905" s="3" t="str">
        <f ca="1">IFERROR(__xludf.DUMMYFUNCTION("GOOGLETRANSLATE(C905,""auto"",""en"")"),"other")</f>
        <v>other</v>
      </c>
    </row>
    <row r="906" spans="1:9" ht="13" x14ac:dyDescent="0.15">
      <c r="A906" s="2" t="s">
        <v>878</v>
      </c>
      <c r="B906" s="2" t="s">
        <v>932</v>
      </c>
      <c r="C906" s="2" t="s">
        <v>935</v>
      </c>
      <c r="D906" s="3">
        <v>627769</v>
      </c>
      <c r="E906" s="3">
        <v>67181</v>
      </c>
      <c r="F906" s="3">
        <v>473</v>
      </c>
      <c r="G906" s="3" t="s">
        <v>881</v>
      </c>
      <c r="H906" s="3" t="str">
        <f ca="1">IFERROR(__xludf.DUMMYFUNCTION("GOOGLETRANSLATE(B906,""auto"",""en"")"),"Body Cleansing")</f>
        <v>Body Cleansing</v>
      </c>
      <c r="I906" s="3" t="str">
        <f ca="1">IFERROR(__xludf.DUMMYFUNCTION("GOOGLETRANSLATE(C906,""auto"",""en"")"),"Aromatherapy oil soap")</f>
        <v>Aromatherapy oil soap</v>
      </c>
    </row>
    <row r="907" spans="1:9" ht="13" x14ac:dyDescent="0.15">
      <c r="A907" s="2" t="s">
        <v>878</v>
      </c>
      <c r="B907" s="2" t="s">
        <v>932</v>
      </c>
      <c r="C907" s="2" t="s">
        <v>936</v>
      </c>
      <c r="D907" s="3">
        <v>627769</v>
      </c>
      <c r="E907" s="3">
        <v>67181</v>
      </c>
      <c r="F907" s="3">
        <v>341</v>
      </c>
      <c r="G907" s="3" t="s">
        <v>881</v>
      </c>
      <c r="H907" s="3" t="str">
        <f ca="1">IFERROR(__xludf.DUMMYFUNCTION("GOOGLETRANSLATE(B907,""auto"",""en"")"),"Body Cleansing")</f>
        <v>Body Cleansing</v>
      </c>
      <c r="I907" s="3" t="str">
        <f ca="1">IFERROR(__xludf.DUMMYFUNCTION("GOOGLETRANSLATE(C907,""auto"",""en"")"),"Bao rubbing mud bath")</f>
        <v>Bao rubbing mud bath</v>
      </c>
    </row>
    <row r="908" spans="1:9" ht="13" x14ac:dyDescent="0.15">
      <c r="A908" s="2" t="s">
        <v>878</v>
      </c>
      <c r="B908" s="2" t="s">
        <v>932</v>
      </c>
      <c r="C908" s="2" t="s">
        <v>937</v>
      </c>
      <c r="D908" s="3">
        <v>627769</v>
      </c>
      <c r="E908" s="3">
        <v>67181</v>
      </c>
      <c r="F908" s="3">
        <v>88</v>
      </c>
      <c r="G908" s="3" t="s">
        <v>881</v>
      </c>
      <c r="H908" s="3" t="str">
        <f ca="1">IFERROR(__xludf.DUMMYFUNCTION("GOOGLETRANSLATE(B908,""auto"",""en"")"),"Body Cleansing")</f>
        <v>Body Cleansing</v>
      </c>
      <c r="I908" s="3" t="str">
        <f ca="1">IFERROR(__xludf.DUMMYFUNCTION("GOOGLETRANSLATE(C908,""auto"",""en"")"),"Bath salts")</f>
        <v>Bath salts</v>
      </c>
    </row>
    <row r="909" spans="1:9" ht="13" x14ac:dyDescent="0.15">
      <c r="A909" s="2" t="s">
        <v>878</v>
      </c>
      <c r="B909" s="2" t="s">
        <v>932</v>
      </c>
      <c r="C909" s="2" t="s">
        <v>938</v>
      </c>
      <c r="D909" s="3">
        <v>627769</v>
      </c>
      <c r="E909" s="3">
        <v>67181</v>
      </c>
      <c r="F909" s="3">
        <v>63</v>
      </c>
      <c r="G909" s="3" t="s">
        <v>881</v>
      </c>
      <c r="H909" s="3" t="str">
        <f ca="1">IFERROR(__xludf.DUMMYFUNCTION("GOOGLETRANSLATE(B909,""auto"",""en"")"),"Body Cleansing")</f>
        <v>Body Cleansing</v>
      </c>
      <c r="I909" s="3" t="str">
        <f ca="1">IFERROR(__xludf.DUMMYFUNCTION("GOOGLETRANSLATE(C909,""auto"",""en"")"),"Bath kits")</f>
        <v>Bath kits</v>
      </c>
    </row>
    <row r="910" spans="1:9" ht="13" x14ac:dyDescent="0.15">
      <c r="A910" s="2" t="s">
        <v>878</v>
      </c>
      <c r="B910" s="2" t="s">
        <v>932</v>
      </c>
      <c r="C910" s="2" t="s">
        <v>939</v>
      </c>
      <c r="D910" s="3">
        <v>627769</v>
      </c>
      <c r="E910" s="3">
        <v>67181</v>
      </c>
      <c r="F910" s="3">
        <v>4</v>
      </c>
      <c r="G910" s="3" t="s">
        <v>881</v>
      </c>
      <c r="H910" s="3" t="str">
        <f ca="1">IFERROR(__xludf.DUMMYFUNCTION("GOOGLETRANSLATE(B910,""auto"",""en"")"),"Body Cleansing")</f>
        <v>Body Cleansing</v>
      </c>
      <c r="I910" s="3" t="str">
        <f ca="1">IFERROR(__xludf.DUMMYFUNCTION("GOOGLETRANSLATE(C910,""auto"",""en"")"),"Bath")</f>
        <v>Bath</v>
      </c>
    </row>
    <row r="911" spans="1:9" ht="13" x14ac:dyDescent="0.15">
      <c r="A911" s="2" t="s">
        <v>878</v>
      </c>
      <c r="B911" s="2" t="s">
        <v>940</v>
      </c>
      <c r="C911" s="2" t="s">
        <v>941</v>
      </c>
      <c r="D911" s="3">
        <v>627769</v>
      </c>
      <c r="E911" s="3">
        <v>60282</v>
      </c>
      <c r="F911" s="3">
        <v>15261</v>
      </c>
      <c r="G911" s="3" t="s">
        <v>881</v>
      </c>
      <c r="H911" s="3" t="str">
        <f ca="1">IFERROR(__xludf.DUMMYFUNCTION("GOOGLETRANSLATE(B911,""auto"",""en"")"),"Body Care")</f>
        <v>Body Care</v>
      </c>
      <c r="I911" s="3" t="str">
        <f ca="1">IFERROR(__xludf.DUMMYFUNCTION("GOOGLETRANSLATE(C911,""auto"",""en"")"),"Other Body Care")</f>
        <v>Other Body Care</v>
      </c>
    </row>
    <row r="912" spans="1:9" ht="13" x14ac:dyDescent="0.15">
      <c r="A912" s="2" t="s">
        <v>878</v>
      </c>
      <c r="B912" s="2" t="s">
        <v>940</v>
      </c>
      <c r="C912" s="2" t="s">
        <v>942</v>
      </c>
      <c r="D912" s="3">
        <v>627769</v>
      </c>
      <c r="E912" s="3">
        <v>60282</v>
      </c>
      <c r="F912" s="3">
        <v>12137</v>
      </c>
      <c r="G912" s="3" t="s">
        <v>881</v>
      </c>
      <c r="H912" s="3" t="str">
        <f ca="1">IFERROR(__xludf.DUMMYFUNCTION("GOOGLETRANSLATE(B912,""auto"",""en"")"),"Body Care")</f>
        <v>Body Care</v>
      </c>
      <c r="I912" s="3" t="str">
        <f ca="1">IFERROR(__xludf.DUMMYFUNCTION("GOOGLETRANSLATE(C912,""auto"",""en"")"),"Foot Cream")</f>
        <v>Foot Cream</v>
      </c>
    </row>
    <row r="913" spans="1:9" ht="13" x14ac:dyDescent="0.15">
      <c r="A913" s="2" t="s">
        <v>878</v>
      </c>
      <c r="B913" s="2" t="s">
        <v>940</v>
      </c>
      <c r="C913" s="2" t="s">
        <v>943</v>
      </c>
      <c r="D913" s="3">
        <v>627769</v>
      </c>
      <c r="E913" s="3">
        <v>60282</v>
      </c>
      <c r="F913" s="3">
        <v>7187</v>
      </c>
      <c r="G913" s="3" t="s">
        <v>881</v>
      </c>
      <c r="H913" s="3" t="str">
        <f ca="1">IFERROR(__xludf.DUMMYFUNCTION("GOOGLETRANSLATE(B913,""auto"",""en"")"),"Body Care")</f>
        <v>Body Care</v>
      </c>
      <c r="I913" s="3" t="str">
        <f ca="1">IFERROR(__xludf.DUMMYFUNCTION("GOOGLETRANSLATE(C913,""auto"",""en"")"),"Other foot care")</f>
        <v>Other foot care</v>
      </c>
    </row>
    <row r="914" spans="1:9" ht="13" x14ac:dyDescent="0.15">
      <c r="A914" s="2" t="s">
        <v>878</v>
      </c>
      <c r="B914" s="2" t="s">
        <v>940</v>
      </c>
      <c r="C914" s="2" t="s">
        <v>944</v>
      </c>
      <c r="D914" s="3">
        <v>627769</v>
      </c>
      <c r="E914" s="3">
        <v>60282</v>
      </c>
      <c r="F914" s="3">
        <v>7050</v>
      </c>
      <c r="G914" s="3" t="s">
        <v>881</v>
      </c>
      <c r="H914" s="3" t="str">
        <f ca="1">IFERROR(__xludf.DUMMYFUNCTION("GOOGLETRANSLATE(B914,""auto"",""en"")"),"Body Care")</f>
        <v>Body Care</v>
      </c>
      <c r="I914" s="3" t="str">
        <f ca="1">IFERROR(__xludf.DUMMYFUNCTION("GOOGLETRANSLATE(C914,""auto"",""en"")"),"Foot film")</f>
        <v>Foot film</v>
      </c>
    </row>
    <row r="915" spans="1:9" ht="13" x14ac:dyDescent="0.15">
      <c r="A915" s="2" t="s">
        <v>878</v>
      </c>
      <c r="B915" s="2" t="s">
        <v>940</v>
      </c>
      <c r="C915" s="2" t="s">
        <v>945</v>
      </c>
      <c r="D915" s="3">
        <v>627769</v>
      </c>
      <c r="E915" s="3">
        <v>60282</v>
      </c>
      <c r="F915" s="3">
        <v>5430</v>
      </c>
      <c r="G915" s="3" t="s">
        <v>881</v>
      </c>
      <c r="H915" s="3" t="str">
        <f ca="1">IFERROR(__xludf.DUMMYFUNCTION("GOOGLETRANSLATE(B915,""auto"",""en"")"),"Body Care")</f>
        <v>Body Care</v>
      </c>
      <c r="I915" s="3" t="str">
        <f ca="1">IFERROR(__xludf.DUMMYFUNCTION("GOOGLETRANSLATE(C915,""auto"",""en"")"),"Hair removal")</f>
        <v>Hair removal</v>
      </c>
    </row>
    <row r="916" spans="1:9" ht="13" x14ac:dyDescent="0.15">
      <c r="A916" s="2" t="s">
        <v>878</v>
      </c>
      <c r="B916" s="2" t="s">
        <v>940</v>
      </c>
      <c r="C916" s="2" t="s">
        <v>946</v>
      </c>
      <c r="D916" s="3">
        <v>627769</v>
      </c>
      <c r="E916" s="3">
        <v>60282</v>
      </c>
      <c r="F916" s="3">
        <v>3376</v>
      </c>
      <c r="G916" s="3" t="s">
        <v>881</v>
      </c>
      <c r="H916" s="3" t="str">
        <f ca="1">IFERROR(__xludf.DUMMYFUNCTION("GOOGLETRANSLATE(B916,""auto"",""en"")"),"Body Care")</f>
        <v>Body Care</v>
      </c>
      <c r="I916" s="3" t="str">
        <f ca="1">IFERROR(__xludf.DUMMYFUNCTION("GOOGLETRANSLATE(C916,""auto"",""en"")"),"Body Lotion / Cream")</f>
        <v>Body Lotion / Cream</v>
      </c>
    </row>
    <row r="917" spans="1:9" ht="13" x14ac:dyDescent="0.15">
      <c r="A917" s="2" t="s">
        <v>878</v>
      </c>
      <c r="B917" s="2" t="s">
        <v>940</v>
      </c>
      <c r="C917" s="2" t="s">
        <v>947</v>
      </c>
      <c r="D917" s="3">
        <v>627769</v>
      </c>
      <c r="E917" s="3">
        <v>60282</v>
      </c>
      <c r="F917" s="3">
        <v>2384</v>
      </c>
      <c r="G917" s="3" t="s">
        <v>881</v>
      </c>
      <c r="H917" s="3" t="str">
        <f ca="1">IFERROR(__xludf.DUMMYFUNCTION("GOOGLETRANSLATE(B917,""auto"",""en"")"),"Body Care")</f>
        <v>Body Care</v>
      </c>
      <c r="I917" s="3" t="str">
        <f ca="1">IFERROR(__xludf.DUMMYFUNCTION("GOOGLETRANSLATE(C917,""auto"",""en"")"),"Deodorant")</f>
        <v>Deodorant</v>
      </c>
    </row>
    <row r="918" spans="1:9" ht="13" x14ac:dyDescent="0.15">
      <c r="A918" s="2" t="s">
        <v>878</v>
      </c>
      <c r="B918" s="2" t="s">
        <v>940</v>
      </c>
      <c r="C918" s="2" t="s">
        <v>948</v>
      </c>
      <c r="D918" s="3">
        <v>627769</v>
      </c>
      <c r="E918" s="3">
        <v>60282</v>
      </c>
      <c r="F918" s="3">
        <v>1724</v>
      </c>
      <c r="G918" s="3" t="s">
        <v>881</v>
      </c>
      <c r="H918" s="3" t="str">
        <f ca="1">IFERROR(__xludf.DUMMYFUNCTION("GOOGLETRANSLATE(B918,""auto"",""en"")"),"Body Care")</f>
        <v>Body Care</v>
      </c>
      <c r="I918" s="3" t="str">
        <f ca="1">IFERROR(__xludf.DUMMYFUNCTION("GOOGLETRANSLATE(C918,""auto"",""en"")"),"Chest Cream")</f>
        <v>Chest Cream</v>
      </c>
    </row>
    <row r="919" spans="1:9" ht="13" x14ac:dyDescent="0.15">
      <c r="A919" s="2" t="s">
        <v>878</v>
      </c>
      <c r="B919" s="2" t="s">
        <v>940</v>
      </c>
      <c r="C919" s="2" t="s">
        <v>949</v>
      </c>
      <c r="D919" s="3">
        <v>627769</v>
      </c>
      <c r="E919" s="3">
        <v>60282</v>
      </c>
      <c r="F919" s="3">
        <v>1044</v>
      </c>
      <c r="G919" s="3" t="s">
        <v>881</v>
      </c>
      <c r="H919" s="3" t="str">
        <f ca="1">IFERROR(__xludf.DUMMYFUNCTION("GOOGLETRANSLATE(B919,""auto"",""en"")"),"Body Care")</f>
        <v>Body Care</v>
      </c>
      <c r="I919" s="3" t="str">
        <f ca="1">IFERROR(__xludf.DUMMYFUNCTION("GOOGLETRANSLATE(C919,""auto"",""en"")"),"Qu Wen")</f>
        <v>Qu Wen</v>
      </c>
    </row>
    <row r="920" spans="1:9" ht="13" x14ac:dyDescent="0.15">
      <c r="A920" s="2" t="s">
        <v>878</v>
      </c>
      <c r="B920" s="2" t="s">
        <v>940</v>
      </c>
      <c r="C920" s="2" t="s">
        <v>950</v>
      </c>
      <c r="D920" s="3">
        <v>627769</v>
      </c>
      <c r="E920" s="3">
        <v>60282</v>
      </c>
      <c r="F920" s="3">
        <v>897</v>
      </c>
      <c r="G920" s="3" t="s">
        <v>881</v>
      </c>
      <c r="H920" s="3" t="str">
        <f ca="1">IFERROR(__xludf.DUMMYFUNCTION("GOOGLETRANSLATE(B920,""auto"",""en"")"),"Body Care")</f>
        <v>Body Care</v>
      </c>
      <c r="I920" s="3" t="str">
        <f ca="1">IFERROR(__xludf.DUMMYFUNCTION("GOOGLETRANSLATE(C920,""auto"",""en"")"),"Hand Cream")</f>
        <v>Hand Cream</v>
      </c>
    </row>
    <row r="921" spans="1:9" ht="13" x14ac:dyDescent="0.15">
      <c r="A921" s="2" t="s">
        <v>878</v>
      </c>
      <c r="B921" s="2" t="s">
        <v>940</v>
      </c>
      <c r="C921" s="2" t="s">
        <v>951</v>
      </c>
      <c r="D921" s="3">
        <v>627769</v>
      </c>
      <c r="E921" s="3">
        <v>60282</v>
      </c>
      <c r="F921" s="3">
        <v>808</v>
      </c>
      <c r="G921" s="3" t="s">
        <v>881</v>
      </c>
      <c r="H921" s="3" t="str">
        <f ca="1">IFERROR(__xludf.DUMMYFUNCTION("GOOGLETRANSLATE(B921,""auto"",""en"")"),"Body Care")</f>
        <v>Body Care</v>
      </c>
      <c r="I921" s="3" t="str">
        <f ca="1">IFERROR(__xludf.DUMMYFUNCTION("GOOGLETRANSLATE(C921,""auto"",""en"")"),"Hand film")</f>
        <v>Hand film</v>
      </c>
    </row>
    <row r="922" spans="1:9" ht="13" x14ac:dyDescent="0.15">
      <c r="A922" s="2" t="s">
        <v>878</v>
      </c>
      <c r="B922" s="2" t="s">
        <v>940</v>
      </c>
      <c r="C922" s="2" t="s">
        <v>952</v>
      </c>
      <c r="D922" s="3">
        <v>627769</v>
      </c>
      <c r="E922" s="3">
        <v>60282</v>
      </c>
      <c r="F922" s="3">
        <v>774</v>
      </c>
      <c r="G922" s="3" t="s">
        <v>881</v>
      </c>
      <c r="H922" s="3" t="str">
        <f ca="1">IFERROR(__xludf.DUMMYFUNCTION("GOOGLETRANSLATE(B922,""auto"",""en"")"),"Body Care")</f>
        <v>Body Care</v>
      </c>
      <c r="I922" s="3" t="str">
        <f ca="1">IFERROR(__xludf.DUMMYFUNCTION("GOOGLETRANSLATE(C922,""auto"",""en"")"),"Body Massage")</f>
        <v>Body Massage</v>
      </c>
    </row>
    <row r="923" spans="1:9" ht="13" x14ac:dyDescent="0.15">
      <c r="A923" s="2" t="s">
        <v>878</v>
      </c>
      <c r="B923" s="2" t="s">
        <v>940</v>
      </c>
      <c r="C923" s="2" t="s">
        <v>953</v>
      </c>
      <c r="D923" s="3">
        <v>627769</v>
      </c>
      <c r="E923" s="3">
        <v>60282</v>
      </c>
      <c r="F923" s="3">
        <v>744</v>
      </c>
      <c r="G923" s="3" t="s">
        <v>881</v>
      </c>
      <c r="H923" s="3" t="str">
        <f ca="1">IFERROR(__xludf.DUMMYFUNCTION("GOOGLETRANSLATE(B923,""auto"",""en"")"),"Body Care")</f>
        <v>Body Care</v>
      </c>
      <c r="I923" s="3" t="str">
        <f ca="1">IFERROR(__xludf.DUMMYFUNCTION("GOOGLETRANSLATE(C923,""auto"",""en"")"),"Neck Care")</f>
        <v>Neck Care</v>
      </c>
    </row>
    <row r="924" spans="1:9" ht="13" x14ac:dyDescent="0.15">
      <c r="A924" s="2" t="s">
        <v>878</v>
      </c>
      <c r="B924" s="2" t="s">
        <v>940</v>
      </c>
      <c r="C924" s="2" t="s">
        <v>954</v>
      </c>
      <c r="D924" s="3">
        <v>627769</v>
      </c>
      <c r="E924" s="3">
        <v>60282</v>
      </c>
      <c r="F924" s="3">
        <v>513</v>
      </c>
      <c r="G924" s="3" t="s">
        <v>881</v>
      </c>
      <c r="H924" s="3" t="str">
        <f ca="1">IFERROR(__xludf.DUMMYFUNCTION("GOOGLETRANSLATE(B924,""auto"",""en"")"),"Body Care")</f>
        <v>Body Care</v>
      </c>
      <c r="I924" s="3" t="str">
        <f ca="1">IFERROR(__xludf.DUMMYFUNCTION("GOOGLETRANSLATE(C924,""auto"",""en"")"),"Body Set")</f>
        <v>Body Set</v>
      </c>
    </row>
    <row r="925" spans="1:9" ht="13" x14ac:dyDescent="0.15">
      <c r="A925" s="2" t="s">
        <v>878</v>
      </c>
      <c r="B925" s="2" t="s">
        <v>940</v>
      </c>
      <c r="C925" s="2" t="s">
        <v>955</v>
      </c>
      <c r="D925" s="3">
        <v>627769</v>
      </c>
      <c r="E925" s="3">
        <v>60282</v>
      </c>
      <c r="F925" s="3">
        <v>424</v>
      </c>
      <c r="G925" s="3" t="s">
        <v>881</v>
      </c>
      <c r="H925" s="3" t="str">
        <f ca="1">IFERROR(__xludf.DUMMYFUNCTION("GOOGLETRANSLATE(B925,""auto"",""en"")"),"Body Care")</f>
        <v>Body Care</v>
      </c>
      <c r="I925" s="3" t="str">
        <f ca="1">IFERROR(__xludf.DUMMYFUNCTION("GOOGLETRANSLATE(C925,""auto"",""en"")"),"Chest cream / oil")</f>
        <v>Chest cream / oil</v>
      </c>
    </row>
    <row r="926" spans="1:9" ht="13" x14ac:dyDescent="0.15">
      <c r="A926" s="2" t="s">
        <v>878</v>
      </c>
      <c r="B926" s="2" t="s">
        <v>940</v>
      </c>
      <c r="C926" s="2" t="s">
        <v>956</v>
      </c>
      <c r="D926" s="3">
        <v>627769</v>
      </c>
      <c r="E926" s="3">
        <v>60282</v>
      </c>
      <c r="F926" s="3">
        <v>211</v>
      </c>
      <c r="G926" s="3" t="s">
        <v>881</v>
      </c>
      <c r="H926" s="3" t="str">
        <f ca="1">IFERROR(__xludf.DUMMYFUNCTION("GOOGLETRANSLATE(B926,""auto"",""en"")"),"Body Care")</f>
        <v>Body Care</v>
      </c>
      <c r="I926" s="3" t="str">
        <f ca="1">IFERROR(__xludf.DUMMYFUNCTION("GOOGLETRANSLATE(C926,""auto"",""en"")"),"Body scrub")</f>
        <v>Body scrub</v>
      </c>
    </row>
    <row r="927" spans="1:9" ht="13" x14ac:dyDescent="0.15">
      <c r="A927" s="2" t="s">
        <v>878</v>
      </c>
      <c r="B927" s="2" t="s">
        <v>940</v>
      </c>
      <c r="C927" s="2" t="s">
        <v>957</v>
      </c>
      <c r="D927" s="3">
        <v>627769</v>
      </c>
      <c r="E927" s="3">
        <v>60282</v>
      </c>
      <c r="F927" s="3">
        <v>109</v>
      </c>
      <c r="G927" s="3" t="s">
        <v>881</v>
      </c>
      <c r="H927" s="3" t="str">
        <f ca="1">IFERROR(__xludf.DUMMYFUNCTION("GOOGLETRANSLATE(B927,""auto"",""en"")"),"Body Care")</f>
        <v>Body Care</v>
      </c>
      <c r="I927" s="3" t="str">
        <f ca="1">IFERROR(__xludf.DUMMYFUNCTION("GOOGLETRANSLATE(C927,""auto"",""en"")"),"Breast stickers")</f>
        <v>Breast stickers</v>
      </c>
    </row>
    <row r="928" spans="1:9" ht="13" x14ac:dyDescent="0.15">
      <c r="A928" s="2" t="s">
        <v>878</v>
      </c>
      <c r="B928" s="2" t="s">
        <v>940</v>
      </c>
      <c r="C928" s="2" t="s">
        <v>958</v>
      </c>
      <c r="D928" s="3">
        <v>627769</v>
      </c>
      <c r="E928" s="3">
        <v>60282</v>
      </c>
      <c r="F928" s="3">
        <v>99</v>
      </c>
      <c r="G928" s="3" t="s">
        <v>881</v>
      </c>
      <c r="H928" s="3" t="str">
        <f ca="1">IFERROR(__xludf.DUMMYFUNCTION("GOOGLETRANSLATE(B928,""auto"",""en"")"),"Body Care")</f>
        <v>Body Care</v>
      </c>
      <c r="I928" s="3" t="str">
        <f ca="1">IFERROR(__xludf.DUMMYFUNCTION("GOOGLETRANSLATE(C928,""auto"",""en"")"),"Nail Care milk / cream")</f>
        <v>Nail Care milk / cream</v>
      </c>
    </row>
    <row r="929" spans="1:9" ht="13" x14ac:dyDescent="0.15">
      <c r="A929" s="2" t="s">
        <v>878</v>
      </c>
      <c r="B929" s="2" t="s">
        <v>940</v>
      </c>
      <c r="C929" s="2" t="s">
        <v>959</v>
      </c>
      <c r="D929" s="3">
        <v>627769</v>
      </c>
      <c r="E929" s="3">
        <v>60282</v>
      </c>
      <c r="F929" s="3">
        <v>58</v>
      </c>
      <c r="G929" s="3" t="s">
        <v>881</v>
      </c>
      <c r="H929" s="3" t="str">
        <f ca="1">IFERROR(__xludf.DUMMYFUNCTION("GOOGLETRANSLATE(B929,""auto"",""en"")"),"Body Care")</f>
        <v>Body Care</v>
      </c>
      <c r="I929" s="3" t="str">
        <f ca="1">IFERROR(__xludf.DUMMYFUNCTION("GOOGLETRANSLATE(C929,""auto"",""en"")"),"Other Hand care")</f>
        <v>Other Hand care</v>
      </c>
    </row>
    <row r="930" spans="1:9" ht="13" x14ac:dyDescent="0.15">
      <c r="A930" s="2" t="s">
        <v>878</v>
      </c>
      <c r="B930" s="2" t="s">
        <v>940</v>
      </c>
      <c r="C930" s="2" t="s">
        <v>960</v>
      </c>
      <c r="D930" s="3">
        <v>627769</v>
      </c>
      <c r="E930" s="3">
        <v>60282</v>
      </c>
      <c r="F930" s="3">
        <v>35</v>
      </c>
      <c r="G930" s="3" t="s">
        <v>881</v>
      </c>
      <c r="H930" s="3" t="str">
        <f ca="1">IFERROR(__xludf.DUMMYFUNCTION("GOOGLETRANSLATE(B930,""auto"",""en"")"),"Body Care")</f>
        <v>Body Care</v>
      </c>
      <c r="I930" s="3" t="str">
        <f ca="1">IFERROR(__xludf.DUMMYFUNCTION("GOOGLETRANSLATE(C930,""auto"",""en"")"),"Foot Scrub")</f>
        <v>Foot Scrub</v>
      </c>
    </row>
    <row r="931" spans="1:9" ht="13" x14ac:dyDescent="0.15">
      <c r="A931" s="2" t="s">
        <v>878</v>
      </c>
      <c r="B931" s="2" t="s">
        <v>940</v>
      </c>
      <c r="C931" s="2" t="s">
        <v>961</v>
      </c>
      <c r="D931" s="3">
        <v>627769</v>
      </c>
      <c r="E931" s="3">
        <v>60282</v>
      </c>
      <c r="F931" s="3">
        <v>16</v>
      </c>
      <c r="G931" s="3" t="s">
        <v>881</v>
      </c>
      <c r="H931" s="3" t="str">
        <f ca="1">IFERROR(__xludf.DUMMYFUNCTION("GOOGLETRANSLATE(B931,""auto"",""en"")"),"Body Care")</f>
        <v>Body Care</v>
      </c>
      <c r="I931" s="3" t="str">
        <f ca="1">IFERROR(__xludf.DUMMYFUNCTION("GOOGLETRANSLATE(C931,""auto"",""en"")"),"Breast Care Kit")</f>
        <v>Breast Care Kit</v>
      </c>
    </row>
    <row r="932" spans="1:9" ht="13" x14ac:dyDescent="0.15">
      <c r="A932" s="2" t="s">
        <v>878</v>
      </c>
      <c r="B932" s="2" t="s">
        <v>940</v>
      </c>
      <c r="C932" s="2" t="s">
        <v>962</v>
      </c>
      <c r="D932" s="3">
        <v>627769</v>
      </c>
      <c r="E932" s="3">
        <v>60282</v>
      </c>
      <c r="F932" s="3">
        <v>7</v>
      </c>
      <c r="G932" s="3" t="s">
        <v>881</v>
      </c>
      <c r="H932" s="3" t="str">
        <f ca="1">IFERROR(__xludf.DUMMYFUNCTION("GOOGLETRANSLATE(B932,""auto"",""en"")"),"Body Care")</f>
        <v>Body Care</v>
      </c>
      <c r="I932" s="3" t="str">
        <f ca="1">IFERROR(__xludf.DUMMYFUNCTION("GOOGLETRANSLATE(C932,""auto"",""en"")"),"Other Breast Care")</f>
        <v>Other Breast Care</v>
      </c>
    </row>
    <row r="933" spans="1:9" ht="13" x14ac:dyDescent="0.15">
      <c r="A933" s="2" t="s">
        <v>878</v>
      </c>
      <c r="B933" s="2" t="s">
        <v>940</v>
      </c>
      <c r="C933" s="2" t="s">
        <v>963</v>
      </c>
      <c r="D933" s="3">
        <v>627769</v>
      </c>
      <c r="E933" s="3">
        <v>60282</v>
      </c>
      <c r="F933" s="3">
        <v>1</v>
      </c>
      <c r="G933" s="3" t="s">
        <v>881</v>
      </c>
      <c r="H933" s="3" t="str">
        <f ca="1">IFERROR(__xludf.DUMMYFUNCTION("GOOGLETRANSLATE(B933,""auto"",""en"")"),"Body Care")</f>
        <v>Body Care</v>
      </c>
      <c r="I933" s="3" t="str">
        <f ca="1">IFERROR(__xludf.DUMMYFUNCTION("GOOGLETRANSLATE(C933,""auto"",""en"")"),"Hand Scrub")</f>
        <v>Hand Scrub</v>
      </c>
    </row>
    <row r="934" spans="1:9" ht="13" x14ac:dyDescent="0.15">
      <c r="A934" s="2" t="s">
        <v>878</v>
      </c>
      <c r="B934" s="2" t="s">
        <v>964</v>
      </c>
      <c r="C934" s="2" t="s">
        <v>965</v>
      </c>
      <c r="D934" s="3">
        <v>627769</v>
      </c>
      <c r="E934" s="3">
        <v>44932</v>
      </c>
      <c r="F934" s="3">
        <v>22239</v>
      </c>
      <c r="G934" s="3" t="s">
        <v>881</v>
      </c>
      <c r="H934" s="3" t="str">
        <f ca="1">IFERROR(__xludf.DUMMYFUNCTION("GOOGLETRANSLATE(B934,""auto"",""en"")"),"beauty tools")</f>
        <v>beauty tools</v>
      </c>
      <c r="I934" s="3" t="str">
        <f ca="1">IFERROR(__xludf.DUMMYFUNCTION("GOOGLETRANSLATE(C934,""auto"",""en"")"),"Other Beauty Tools")</f>
        <v>Other Beauty Tools</v>
      </c>
    </row>
    <row r="935" spans="1:9" ht="13" x14ac:dyDescent="0.15">
      <c r="A935" s="2" t="s">
        <v>878</v>
      </c>
      <c r="B935" s="2" t="s">
        <v>964</v>
      </c>
      <c r="C935" s="2" t="s">
        <v>966</v>
      </c>
      <c r="D935" s="3">
        <v>627769</v>
      </c>
      <c r="E935" s="3">
        <v>44932</v>
      </c>
      <c r="F935" s="3">
        <v>7230</v>
      </c>
      <c r="G935" s="3" t="s">
        <v>881</v>
      </c>
      <c r="H935" s="3" t="str">
        <f ca="1">IFERROR(__xludf.DUMMYFUNCTION("GOOGLETRANSLATE(B935,""auto"",""en"")"),"beauty tools")</f>
        <v>beauty tools</v>
      </c>
      <c r="I935" s="3" t="str">
        <f ca="1">IFERROR(__xludf.DUMMYFUNCTION("GOOGLETRANSLATE(C935,""auto"",""en"")"),"Cosmetic")</f>
        <v>Cosmetic</v>
      </c>
    </row>
    <row r="936" spans="1:9" ht="13" x14ac:dyDescent="0.15">
      <c r="A936" s="2" t="s">
        <v>878</v>
      </c>
      <c r="B936" s="2" t="s">
        <v>964</v>
      </c>
      <c r="C936" s="2" t="s">
        <v>967</v>
      </c>
      <c r="D936" s="3">
        <v>627769</v>
      </c>
      <c r="E936" s="3">
        <v>44932</v>
      </c>
      <c r="F936" s="3">
        <v>5429</v>
      </c>
      <c r="G936" s="3" t="s">
        <v>881</v>
      </c>
      <c r="H936" s="3" t="str">
        <f ca="1">IFERROR(__xludf.DUMMYFUNCTION("GOOGLETRANSLATE(B936,""auto"",""en"")"),"beauty tools")</f>
        <v>beauty tools</v>
      </c>
      <c r="I936" s="3" t="str">
        <f ca="1">IFERROR(__xludf.DUMMYFUNCTION("GOOGLETRANSLATE(C936,""auto"",""en"")"),"Manicure tools")</f>
        <v>Manicure tools</v>
      </c>
    </row>
    <row r="937" spans="1:9" ht="13" x14ac:dyDescent="0.15">
      <c r="A937" s="2" t="s">
        <v>878</v>
      </c>
      <c r="B937" s="2" t="s">
        <v>964</v>
      </c>
      <c r="C937" s="2" t="s">
        <v>968</v>
      </c>
      <c r="D937" s="3">
        <v>627769</v>
      </c>
      <c r="E937" s="3">
        <v>44932</v>
      </c>
      <c r="F937" s="3">
        <v>5207</v>
      </c>
      <c r="G937" s="3" t="s">
        <v>881</v>
      </c>
      <c r="H937" s="3" t="str">
        <f ca="1">IFERROR(__xludf.DUMMYFUNCTION("GOOGLETRANSLATE(B937,""auto"",""en"")"),"beauty tools")</f>
        <v>beauty tools</v>
      </c>
      <c r="I937" s="3" t="str">
        <f ca="1">IFERROR(__xludf.DUMMYFUNCTION("GOOGLETRANSLATE(C937,""auto"",""en"")"),"Xiumei Dao")</f>
        <v>Xiumei Dao</v>
      </c>
    </row>
    <row r="938" spans="1:9" ht="13" x14ac:dyDescent="0.15">
      <c r="A938" s="2" t="s">
        <v>878</v>
      </c>
      <c r="B938" s="2" t="s">
        <v>964</v>
      </c>
      <c r="C938" s="2" t="s">
        <v>969</v>
      </c>
      <c r="D938" s="3">
        <v>627769</v>
      </c>
      <c r="E938" s="3">
        <v>44932</v>
      </c>
      <c r="F938" s="3">
        <v>1941</v>
      </c>
      <c r="G938" s="3" t="s">
        <v>881</v>
      </c>
      <c r="H938" s="3" t="str">
        <f ca="1">IFERROR(__xludf.DUMMYFUNCTION("GOOGLETRANSLATE(B938,""auto"",""en"")"),"beauty tools")</f>
        <v>beauty tools</v>
      </c>
      <c r="I938" s="3" t="str">
        <f ca="1">IFERROR(__xludf.DUMMYFUNCTION("GOOGLETRANSLATE(C938,""auto"",""en"")"),"Cotton")</f>
        <v>Cotton</v>
      </c>
    </row>
    <row r="939" spans="1:9" ht="13" x14ac:dyDescent="0.15">
      <c r="A939" s="2" t="s">
        <v>878</v>
      </c>
      <c r="B939" s="2" t="s">
        <v>964</v>
      </c>
      <c r="C939" s="2" t="s">
        <v>970</v>
      </c>
      <c r="D939" s="3">
        <v>627769</v>
      </c>
      <c r="E939" s="3">
        <v>44932</v>
      </c>
      <c r="F939" s="3">
        <v>1534</v>
      </c>
      <c r="G939" s="3" t="s">
        <v>881</v>
      </c>
      <c r="H939" s="3" t="str">
        <f ca="1">IFERROR(__xludf.DUMMYFUNCTION("GOOGLETRANSLATE(B939,""auto"",""en"")"),"beauty tools")</f>
        <v>beauty tools</v>
      </c>
      <c r="I939" s="3" t="str">
        <f ca="1">IFERROR(__xludf.DUMMYFUNCTION("GOOGLETRANSLATE(C939,""auto"",""en"")"),"Puff")</f>
        <v>Puff</v>
      </c>
    </row>
    <row r="940" spans="1:9" ht="13" x14ac:dyDescent="0.15">
      <c r="A940" s="2" t="s">
        <v>878</v>
      </c>
      <c r="B940" s="2" t="s">
        <v>964</v>
      </c>
      <c r="C940" s="2" t="s">
        <v>971</v>
      </c>
      <c r="D940" s="3">
        <v>627769</v>
      </c>
      <c r="E940" s="3">
        <v>44932</v>
      </c>
      <c r="F940" s="3">
        <v>758</v>
      </c>
      <c r="G940" s="3" t="s">
        <v>881</v>
      </c>
      <c r="H940" s="3" t="str">
        <f ca="1">IFERROR(__xludf.DUMMYFUNCTION("GOOGLETRANSLATE(B940,""auto"",""en"")"),"beauty tools")</f>
        <v>beauty tools</v>
      </c>
      <c r="I940" s="3" t="str">
        <f ca="1">IFERROR(__xludf.DUMMYFUNCTION("GOOGLETRANSLATE(C940,""auto"",""en"")"),"Eyelid paste / glue / tape")</f>
        <v>Eyelid paste / glue / tape</v>
      </c>
    </row>
    <row r="941" spans="1:9" ht="13" x14ac:dyDescent="0.15">
      <c r="A941" s="2" t="s">
        <v>878</v>
      </c>
      <c r="B941" s="2" t="s">
        <v>964</v>
      </c>
      <c r="C941" s="2" t="s">
        <v>972</v>
      </c>
      <c r="D941" s="3">
        <v>627769</v>
      </c>
      <c r="E941" s="3">
        <v>44932</v>
      </c>
      <c r="F941" s="3">
        <v>398</v>
      </c>
      <c r="G941" s="3" t="s">
        <v>881</v>
      </c>
      <c r="H941" s="3" t="str">
        <f ca="1">IFERROR(__xludf.DUMMYFUNCTION("GOOGLETRANSLATE(B941,""auto"",""en"")"),"beauty tools")</f>
        <v>beauty tools</v>
      </c>
      <c r="I941" s="3" t="str">
        <f ca="1">IFERROR(__xludf.DUMMYFUNCTION("GOOGLETRANSLATE(C941,""auto"",""en"")"),"Brushes")</f>
        <v>Brushes</v>
      </c>
    </row>
    <row r="942" spans="1:9" ht="13" x14ac:dyDescent="0.15">
      <c r="A942" s="2" t="s">
        <v>878</v>
      </c>
      <c r="B942" s="2" t="s">
        <v>964</v>
      </c>
      <c r="C942" s="2" t="s">
        <v>973</v>
      </c>
      <c r="D942" s="3">
        <v>627769</v>
      </c>
      <c r="E942" s="3">
        <v>44932</v>
      </c>
      <c r="F942" s="3">
        <v>113</v>
      </c>
      <c r="G942" s="3" t="s">
        <v>881</v>
      </c>
      <c r="H942" s="3" t="str">
        <f ca="1">IFERROR(__xludf.DUMMYFUNCTION("GOOGLETRANSLATE(B942,""auto"",""en"")"),"beauty tools")</f>
        <v>beauty tools</v>
      </c>
      <c r="I942" s="3" t="str">
        <f ca="1">IFERROR(__xludf.DUMMYFUNCTION("GOOGLETRANSLATE(C942,""auto"",""en"")"),"Fake eyelashes")</f>
        <v>Fake eyelashes</v>
      </c>
    </row>
    <row r="943" spans="1:9" ht="13" x14ac:dyDescent="0.15">
      <c r="A943" s="2" t="s">
        <v>878</v>
      </c>
      <c r="B943" s="2" t="s">
        <v>964</v>
      </c>
      <c r="C943" s="2" t="s">
        <v>974</v>
      </c>
      <c r="D943" s="3">
        <v>627769</v>
      </c>
      <c r="E943" s="3">
        <v>44932</v>
      </c>
      <c r="F943" s="3">
        <v>83</v>
      </c>
      <c r="G943" s="3" t="s">
        <v>881</v>
      </c>
      <c r="H943" s="3" t="str">
        <f ca="1">IFERROR(__xludf.DUMMYFUNCTION("GOOGLETRANSLATE(B943,""auto"",""en"")"),"beauty tools")</f>
        <v>beauty tools</v>
      </c>
      <c r="I943" s="3" t="str">
        <f ca="1">IFERROR(__xludf.DUMMYFUNCTION("GOOGLETRANSLATE(C943,""auto"",""en"")"),"Eyelash curler")</f>
        <v>Eyelash curler</v>
      </c>
    </row>
    <row r="944" spans="1:9" ht="13" x14ac:dyDescent="0.15">
      <c r="A944" s="2" t="s">
        <v>878</v>
      </c>
      <c r="B944" s="2" t="s">
        <v>975</v>
      </c>
      <c r="C944" s="2" t="s">
        <v>976</v>
      </c>
      <c r="D944" s="3">
        <v>627769</v>
      </c>
      <c r="E944" s="3">
        <v>39344</v>
      </c>
      <c r="F944" s="3">
        <v>31225</v>
      </c>
      <c r="G944" s="3" t="s">
        <v>881</v>
      </c>
      <c r="H944" s="3" t="str">
        <f ca="1">IFERROR(__xludf.DUMMYFUNCTION("GOOGLETRANSLATE(B944,""auto"",""en"")"),"Oral Care")</f>
        <v>Oral Care</v>
      </c>
      <c r="I944" s="3" t="str">
        <f ca="1">IFERROR(__xludf.DUMMYFUNCTION("GOOGLETRANSLATE(C944,""auto"",""en"")"),"Toothbrush / oral hygiene tool")</f>
        <v>Toothbrush / oral hygiene tool</v>
      </c>
    </row>
    <row r="945" spans="1:9" ht="13" x14ac:dyDescent="0.15">
      <c r="A945" s="2" t="s">
        <v>878</v>
      </c>
      <c r="B945" s="2" t="s">
        <v>975</v>
      </c>
      <c r="C945" s="2" t="s">
        <v>781</v>
      </c>
      <c r="D945" s="3">
        <v>627769</v>
      </c>
      <c r="E945" s="3">
        <v>39344</v>
      </c>
      <c r="F945" s="3">
        <v>3957</v>
      </c>
      <c r="G945" s="3" t="s">
        <v>881</v>
      </c>
      <c r="H945" s="3" t="str">
        <f ca="1">IFERROR(__xludf.DUMMYFUNCTION("GOOGLETRANSLATE(B945,""auto"",""en"")"),"Oral Care")</f>
        <v>Oral Care</v>
      </c>
      <c r="I945" s="3" t="str">
        <f ca="1">IFERROR(__xludf.DUMMYFUNCTION("GOOGLETRANSLATE(C945,""auto"",""en"")"),"toothpaste")</f>
        <v>toothpaste</v>
      </c>
    </row>
    <row r="946" spans="1:9" ht="13" x14ac:dyDescent="0.15">
      <c r="A946" s="2" t="s">
        <v>878</v>
      </c>
      <c r="B946" s="2" t="s">
        <v>975</v>
      </c>
      <c r="C946" s="2" t="s">
        <v>882</v>
      </c>
      <c r="D946" s="3">
        <v>627769</v>
      </c>
      <c r="E946" s="3">
        <v>39344</v>
      </c>
      <c r="F946" s="3">
        <v>1766</v>
      </c>
      <c r="G946" s="3" t="s">
        <v>881</v>
      </c>
      <c r="H946" s="3" t="str">
        <f ca="1">IFERROR(__xludf.DUMMYFUNCTION("GOOGLETRANSLATE(B946,""auto"",""en"")"),"Oral Care")</f>
        <v>Oral Care</v>
      </c>
      <c r="I946" s="3" t="str">
        <f ca="1">IFERROR(__xludf.DUMMYFUNCTION("GOOGLETRANSLATE(C946,""auto"",""en"")"),"Care packages")</f>
        <v>Care packages</v>
      </c>
    </row>
    <row r="947" spans="1:9" ht="13" x14ac:dyDescent="0.15">
      <c r="A947" s="2" t="s">
        <v>878</v>
      </c>
      <c r="B947" s="2" t="s">
        <v>975</v>
      </c>
      <c r="C947" s="2" t="s">
        <v>977</v>
      </c>
      <c r="D947" s="3">
        <v>627769</v>
      </c>
      <c r="E947" s="3">
        <v>39344</v>
      </c>
      <c r="F947" s="3">
        <v>1290</v>
      </c>
      <c r="G947" s="3" t="s">
        <v>881</v>
      </c>
      <c r="H947" s="3" t="str">
        <f ca="1">IFERROR(__xludf.DUMMYFUNCTION("GOOGLETRANSLATE(B947,""auto"",""en"")"),"Oral Care")</f>
        <v>Oral Care</v>
      </c>
      <c r="I947" s="3" t="str">
        <f ca="1">IFERROR(__xludf.DUMMYFUNCTION("GOOGLETRANSLATE(C947,""auto"",""en"")"),"Tooth whitening bleaching agent")</f>
        <v>Tooth whitening bleaching agent</v>
      </c>
    </row>
    <row r="948" spans="1:9" ht="13" x14ac:dyDescent="0.15">
      <c r="A948" s="2" t="s">
        <v>878</v>
      </c>
      <c r="B948" s="2" t="s">
        <v>975</v>
      </c>
      <c r="C948" s="2" t="s">
        <v>978</v>
      </c>
      <c r="D948" s="3">
        <v>627769</v>
      </c>
      <c r="E948" s="3">
        <v>39344</v>
      </c>
      <c r="F948" s="3">
        <v>385</v>
      </c>
      <c r="G948" s="3" t="s">
        <v>881</v>
      </c>
      <c r="H948" s="3" t="str">
        <f ca="1">IFERROR(__xludf.DUMMYFUNCTION("GOOGLETRANSLATE(B948,""auto"",""en"")"),"Oral Care")</f>
        <v>Oral Care</v>
      </c>
      <c r="I948" s="3" t="str">
        <f ca="1">IFERROR(__xludf.DUMMYFUNCTION("GOOGLETRANSLATE(C948,""auto"",""en"")"),"Mouthwash")</f>
        <v>Mouthwash</v>
      </c>
    </row>
    <row r="949" spans="1:9" ht="13" x14ac:dyDescent="0.15">
      <c r="A949" s="2" t="s">
        <v>878</v>
      </c>
      <c r="B949" s="2" t="s">
        <v>975</v>
      </c>
      <c r="C949" s="2" t="s">
        <v>979</v>
      </c>
      <c r="D949" s="3">
        <v>627769</v>
      </c>
      <c r="E949" s="3">
        <v>39344</v>
      </c>
      <c r="F949" s="3">
        <v>290</v>
      </c>
      <c r="G949" s="3" t="s">
        <v>881</v>
      </c>
      <c r="H949" s="3" t="str">
        <f ca="1">IFERROR(__xludf.DUMMYFUNCTION("GOOGLETRANSLATE(B949,""auto"",""en"")"),"Oral Care")</f>
        <v>Oral Care</v>
      </c>
      <c r="I949" s="3" t="str">
        <f ca="1">IFERROR(__xludf.DUMMYFUNCTION("GOOGLETRANSLATE(C949,""auto"",""en"")"),"Dentifrice")</f>
        <v>Dentifrice</v>
      </c>
    </row>
    <row r="950" spans="1:9" ht="13" x14ac:dyDescent="0.15">
      <c r="A950" s="2" t="s">
        <v>878</v>
      </c>
      <c r="B950" s="2" t="s">
        <v>975</v>
      </c>
      <c r="C950" s="2" t="s">
        <v>92</v>
      </c>
      <c r="D950" s="3">
        <v>627769</v>
      </c>
      <c r="E950" s="3">
        <v>39344</v>
      </c>
      <c r="F950" s="3">
        <v>261</v>
      </c>
      <c r="G950" s="3" t="s">
        <v>881</v>
      </c>
      <c r="H950" s="3" t="str">
        <f ca="1">IFERROR(__xludf.DUMMYFUNCTION("GOOGLETRANSLATE(B950,""auto"",""en"")"),"Oral Care")</f>
        <v>Oral Care</v>
      </c>
      <c r="I950" s="3" t="str">
        <f ca="1">IFERROR(__xludf.DUMMYFUNCTION("GOOGLETRANSLATE(C950,""auto"",""en"")"),"other")</f>
        <v>other</v>
      </c>
    </row>
    <row r="951" spans="1:9" ht="13" x14ac:dyDescent="0.15">
      <c r="A951" s="2" t="s">
        <v>878</v>
      </c>
      <c r="B951" s="2" t="s">
        <v>975</v>
      </c>
      <c r="C951" s="2" t="s">
        <v>980</v>
      </c>
      <c r="D951" s="3">
        <v>627769</v>
      </c>
      <c r="E951" s="3">
        <v>39344</v>
      </c>
      <c r="F951" s="3">
        <v>123</v>
      </c>
      <c r="G951" s="3" t="s">
        <v>881</v>
      </c>
      <c r="H951" s="3" t="str">
        <f ca="1">IFERROR(__xludf.DUMMYFUNCTION("GOOGLETRANSLATE(B951,""auto"",""en"")"),"Oral Care")</f>
        <v>Oral Care</v>
      </c>
      <c r="I951" s="3" t="str">
        <f ca="1">IFERROR(__xludf.DUMMYFUNCTION("GOOGLETRANSLATE(C951,""auto"",""en"")"),"Floss / floss pick")</f>
        <v>Floss / floss pick</v>
      </c>
    </row>
    <row r="952" spans="1:9" ht="13" x14ac:dyDescent="0.15">
      <c r="A952" s="2" t="s">
        <v>878</v>
      </c>
      <c r="B952" s="2" t="s">
        <v>975</v>
      </c>
      <c r="C952" s="2" t="s">
        <v>981</v>
      </c>
      <c r="D952" s="3">
        <v>627769</v>
      </c>
      <c r="E952" s="3">
        <v>39344</v>
      </c>
      <c r="F952" s="3">
        <v>30</v>
      </c>
      <c r="G952" s="3" t="s">
        <v>881</v>
      </c>
      <c r="H952" s="3" t="str">
        <f ca="1">IFERROR(__xludf.DUMMYFUNCTION("GOOGLETRANSLATE(B952,""auto"",""en"")"),"Oral Care")</f>
        <v>Oral Care</v>
      </c>
      <c r="I952" s="3" t="str">
        <f ca="1">IFERROR(__xludf.DUMMYFUNCTION("GOOGLETRANSLATE(C952,""auto"",""en"")"),"Breath fresheners")</f>
        <v>Breath fresheners</v>
      </c>
    </row>
    <row r="953" spans="1:9" ht="13" x14ac:dyDescent="0.15">
      <c r="A953" s="2" t="s">
        <v>878</v>
      </c>
      <c r="B953" s="2" t="s">
        <v>975</v>
      </c>
      <c r="C953" s="2" t="s">
        <v>784</v>
      </c>
      <c r="D953" s="3">
        <v>627769</v>
      </c>
      <c r="E953" s="3">
        <v>39344</v>
      </c>
      <c r="F953" s="3">
        <v>17</v>
      </c>
      <c r="G953" s="3" t="s">
        <v>881</v>
      </c>
      <c r="H953" s="3" t="str">
        <f ca="1">IFERROR(__xludf.DUMMYFUNCTION("GOOGLETRANSLATE(B953,""auto"",""en"")"),"Oral Care")</f>
        <v>Oral Care</v>
      </c>
      <c r="I953" s="3" t="str">
        <f ca="1">IFERROR(__xludf.DUMMYFUNCTION("GOOGLETRANSLATE(C953,""auto"",""en"")"),"Tooth Mousse")</f>
        <v>Tooth Mousse</v>
      </c>
    </row>
    <row r="954" spans="1:9" ht="13" x14ac:dyDescent="0.15">
      <c r="A954" s="2" t="s">
        <v>878</v>
      </c>
      <c r="B954" s="2" t="s">
        <v>982</v>
      </c>
      <c r="C954" s="2" t="s">
        <v>983</v>
      </c>
      <c r="D954" s="3">
        <v>627769</v>
      </c>
      <c r="E954" s="3">
        <v>35390</v>
      </c>
      <c r="F954" s="3">
        <v>23179</v>
      </c>
      <c r="G954" s="3" t="s">
        <v>881</v>
      </c>
      <c r="H954" s="3" t="str">
        <f ca="1">IFERROR(__xludf.DUMMYFUNCTION("GOOGLETRANSLATE(B954,""auto"",""en"")"),"Sanitary napkins / condoms / family health")</f>
        <v>Sanitary napkins / condoms / family health</v>
      </c>
      <c r="I954" s="3" t="str">
        <f ca="1">IFERROR(__xludf.DUMMYFUNCTION("GOOGLETRANSLATE(C954,""auto"",""en"")"),"sanitary napkin")</f>
        <v>sanitary napkin</v>
      </c>
    </row>
    <row r="955" spans="1:9" ht="13" x14ac:dyDescent="0.15">
      <c r="A955" s="2" t="s">
        <v>878</v>
      </c>
      <c r="B955" s="2" t="s">
        <v>982</v>
      </c>
      <c r="C955" s="2" t="s">
        <v>984</v>
      </c>
      <c r="D955" s="3">
        <v>627769</v>
      </c>
      <c r="E955" s="3">
        <v>35390</v>
      </c>
      <c r="F955" s="3">
        <v>11118</v>
      </c>
      <c r="G955" s="3" t="s">
        <v>881</v>
      </c>
      <c r="H955" s="3" t="str">
        <f ca="1">IFERROR(__xludf.DUMMYFUNCTION("GOOGLETRANSLATE(B955,""auto"",""en"")"),"Sanitary napkins / condoms / family health")</f>
        <v>Sanitary napkins / condoms / family health</v>
      </c>
      <c r="I955" s="3" t="str">
        <f ca="1">IFERROR(__xludf.DUMMYFUNCTION("GOOGLETRANSLATE(C955,""auto"",""en"")"),"Adult products / contraception / family planning supplies")</f>
        <v>Adult products / contraception / family planning supplies</v>
      </c>
    </row>
    <row r="956" spans="1:9" ht="13" x14ac:dyDescent="0.15">
      <c r="A956" s="2" t="s">
        <v>878</v>
      </c>
      <c r="B956" s="2" t="s">
        <v>982</v>
      </c>
      <c r="C956" s="2" t="s">
        <v>92</v>
      </c>
      <c r="D956" s="3">
        <v>627769</v>
      </c>
      <c r="E956" s="3">
        <v>35390</v>
      </c>
      <c r="F956" s="3">
        <v>560</v>
      </c>
      <c r="G956" s="3" t="s">
        <v>881</v>
      </c>
      <c r="H956" s="3" t="str">
        <f ca="1">IFERROR(__xludf.DUMMYFUNCTION("GOOGLETRANSLATE(B956,""auto"",""en"")"),"Sanitary napkins / condoms / family health")</f>
        <v>Sanitary napkins / condoms / family health</v>
      </c>
      <c r="I956" s="3" t="str">
        <f ca="1">IFERROR(__xludf.DUMMYFUNCTION("GOOGLETRANSLATE(C956,""auto"",""en"")"),"other")</f>
        <v>other</v>
      </c>
    </row>
    <row r="957" spans="1:9" ht="13" x14ac:dyDescent="0.15">
      <c r="A957" s="2" t="s">
        <v>878</v>
      </c>
      <c r="B957" s="2" t="s">
        <v>982</v>
      </c>
      <c r="C957" s="2" t="s">
        <v>985</v>
      </c>
      <c r="D957" s="3">
        <v>627769</v>
      </c>
      <c r="E957" s="3">
        <v>35390</v>
      </c>
      <c r="F957" s="3">
        <v>246</v>
      </c>
      <c r="G957" s="3" t="s">
        <v>881</v>
      </c>
      <c r="H957" s="3" t="str">
        <f ca="1">IFERROR(__xludf.DUMMYFUNCTION("GOOGLETRANSLATE(B957,""auto"",""en"")"),"Sanitary napkins / condoms / family health")</f>
        <v>Sanitary napkins / condoms / family health</v>
      </c>
      <c r="I957" s="3" t="str">
        <f ca="1">IFERROR(__xludf.DUMMYFUNCTION("GOOGLETRANSLATE(C957,""auto"",""en"")"),"Adult paper diapers Care")</f>
        <v>Adult paper diapers Care</v>
      </c>
    </row>
    <row r="958" spans="1:9" ht="13" x14ac:dyDescent="0.15">
      <c r="A958" s="2" t="s">
        <v>878</v>
      </c>
      <c r="B958" s="2" t="s">
        <v>982</v>
      </c>
      <c r="C958" s="2" t="s">
        <v>986</v>
      </c>
      <c r="D958" s="3">
        <v>627769</v>
      </c>
      <c r="E958" s="3">
        <v>35390</v>
      </c>
      <c r="F958" s="3">
        <v>222</v>
      </c>
      <c r="G958" s="3" t="s">
        <v>881</v>
      </c>
      <c r="H958" s="3" t="str">
        <f ca="1">IFERROR(__xludf.DUMMYFUNCTION("GOOGLETRANSLATE(B958,""auto"",""en"")"),"Sanitary napkins / condoms / family health")</f>
        <v>Sanitary napkins / condoms / family health</v>
      </c>
      <c r="I958" s="3" t="str">
        <f ca="1">IFERROR(__xludf.DUMMYFUNCTION("GOOGLETRANSLATE(C958,""auto"",""en"")"),"Pad")</f>
        <v>Pad</v>
      </c>
    </row>
    <row r="959" spans="1:9" ht="13" x14ac:dyDescent="0.15">
      <c r="A959" s="2" t="s">
        <v>878</v>
      </c>
      <c r="B959" s="2" t="s">
        <v>982</v>
      </c>
      <c r="C959" s="2" t="s">
        <v>987</v>
      </c>
      <c r="D959" s="3">
        <v>627769</v>
      </c>
      <c r="E959" s="3">
        <v>35390</v>
      </c>
      <c r="F959" s="3">
        <v>65</v>
      </c>
      <c r="G959" s="3" t="s">
        <v>881</v>
      </c>
      <c r="H959" s="3" t="str">
        <f ca="1">IFERROR(__xludf.DUMMYFUNCTION("GOOGLETRANSLATE(B959,""auto"",""en"")"),"Sanitary napkins / condoms / family health")</f>
        <v>Sanitary napkins / condoms / family health</v>
      </c>
      <c r="I959" s="3" t="str">
        <f ca="1">IFERROR(__xludf.DUMMYFUNCTION("GOOGLETRANSLATE(C959,""auto"",""en"")"),"Tampons")</f>
        <v>Tampons</v>
      </c>
    </row>
    <row r="960" spans="1:9" ht="13" x14ac:dyDescent="0.15">
      <c r="A960" s="2" t="s">
        <v>878</v>
      </c>
      <c r="B960" s="2" t="s">
        <v>988</v>
      </c>
      <c r="C960" s="2" t="s">
        <v>703</v>
      </c>
      <c r="D960" s="3">
        <v>627769</v>
      </c>
      <c r="E960" s="3">
        <v>32535</v>
      </c>
      <c r="F960" s="3">
        <v>17445</v>
      </c>
      <c r="G960" s="3" t="s">
        <v>881</v>
      </c>
      <c r="H960" s="3" t="str">
        <f ca="1">IFERROR(__xludf.DUMMYFUNCTION("GOOGLETRANSLATE(B960,""auto"",""en"")"),"Hair cleaning / care / styling")</f>
        <v>Hair cleaning / care / styling</v>
      </c>
      <c r="I960" s="3" t="str">
        <f ca="1">IFERROR(__xludf.DUMMYFUNCTION("GOOGLETRANSLATE(C960,""auto"",""en"")"),"shampoo")</f>
        <v>shampoo</v>
      </c>
    </row>
    <row r="961" spans="1:9" ht="13" x14ac:dyDescent="0.15">
      <c r="A961" s="2" t="s">
        <v>878</v>
      </c>
      <c r="B961" s="2" t="s">
        <v>988</v>
      </c>
      <c r="C961" s="2" t="s">
        <v>989</v>
      </c>
      <c r="D961" s="3">
        <v>627769</v>
      </c>
      <c r="E961" s="3">
        <v>32535</v>
      </c>
      <c r="F961" s="3">
        <v>10202</v>
      </c>
      <c r="G961" s="3" t="s">
        <v>881</v>
      </c>
      <c r="H961" s="3" t="str">
        <f ca="1">IFERROR(__xludf.DUMMYFUNCTION("GOOGLETRANSLATE(B961,""auto"",""en"")"),"Hair cleaning / care / styling")</f>
        <v>Hair cleaning / care / styling</v>
      </c>
      <c r="I961" s="3" t="str">
        <f ca="1">IFERROR(__xludf.DUMMYFUNCTION("GOOGLETRANSLATE(C961,""auto"",""en"")"),"Care packages")</f>
        <v>Care packages</v>
      </c>
    </row>
    <row r="962" spans="1:9" ht="13" x14ac:dyDescent="0.15">
      <c r="A962" s="2" t="s">
        <v>878</v>
      </c>
      <c r="B962" s="2" t="s">
        <v>988</v>
      </c>
      <c r="C962" s="2" t="s">
        <v>706</v>
      </c>
      <c r="D962" s="3">
        <v>627769</v>
      </c>
      <c r="E962" s="3">
        <v>32535</v>
      </c>
      <c r="F962" s="3">
        <v>2279</v>
      </c>
      <c r="G962" s="3" t="s">
        <v>881</v>
      </c>
      <c r="H962" s="3" t="str">
        <f ca="1">IFERROR(__xludf.DUMMYFUNCTION("GOOGLETRANSLATE(B962,""auto"",""en"")"),"Hair cleaning / care / styling")</f>
        <v>Hair cleaning / care / styling</v>
      </c>
      <c r="I962" s="3" t="str">
        <f ca="1">IFERROR(__xludf.DUMMYFUNCTION("GOOGLETRANSLATE(C962,""auto"",""en"")"),"conditioner")</f>
        <v>conditioner</v>
      </c>
    </row>
    <row r="963" spans="1:9" ht="13" x14ac:dyDescent="0.15">
      <c r="A963" s="2" t="s">
        <v>878</v>
      </c>
      <c r="B963" s="2" t="s">
        <v>988</v>
      </c>
      <c r="C963" s="2" t="s">
        <v>990</v>
      </c>
      <c r="D963" s="3">
        <v>627769</v>
      </c>
      <c r="E963" s="3">
        <v>32535</v>
      </c>
      <c r="F963" s="3">
        <v>1336</v>
      </c>
      <c r="G963" s="3" t="s">
        <v>881</v>
      </c>
      <c r="H963" s="3" t="str">
        <f ca="1">IFERROR(__xludf.DUMMYFUNCTION("GOOGLETRANSLATE(B963,""auto"",""en"")"),"Hair cleaning / care / styling")</f>
        <v>Hair cleaning / care / styling</v>
      </c>
      <c r="I963" s="3" t="str">
        <f ca="1">IFERROR(__xludf.DUMMYFUNCTION("GOOGLETRANSLATE(C963,""auto"",""en"")"),"Hair membrane / hair care products")</f>
        <v>Hair membrane / hair care products</v>
      </c>
    </row>
    <row r="964" spans="1:9" ht="13" x14ac:dyDescent="0.15">
      <c r="A964" s="2" t="s">
        <v>878</v>
      </c>
      <c r="B964" s="2" t="s">
        <v>988</v>
      </c>
      <c r="C964" s="2" t="s">
        <v>991</v>
      </c>
      <c r="D964" s="3">
        <v>627769</v>
      </c>
      <c r="E964" s="3">
        <v>32535</v>
      </c>
      <c r="F964" s="3">
        <v>817</v>
      </c>
      <c r="G964" s="3" t="s">
        <v>881</v>
      </c>
      <c r="H964" s="3" t="str">
        <f ca="1">IFERROR(__xludf.DUMMYFUNCTION("GOOGLETRANSLATE(B964,""auto"",""en"")"),"Hair cleaning / care / styling")</f>
        <v>Hair cleaning / care / styling</v>
      </c>
      <c r="I964" s="3" t="str">
        <f ca="1">IFERROR(__xludf.DUMMYFUNCTION("GOOGLETRANSLATE(C964,""auto"",""en"")"),"Mousse / gel / hair styling")</f>
        <v>Mousse / gel / hair styling</v>
      </c>
    </row>
    <row r="965" spans="1:9" ht="13" x14ac:dyDescent="0.15">
      <c r="A965" s="2" t="s">
        <v>878</v>
      </c>
      <c r="B965" s="2" t="s">
        <v>988</v>
      </c>
      <c r="C965" s="2" t="s">
        <v>92</v>
      </c>
      <c r="D965" s="3">
        <v>627769</v>
      </c>
      <c r="E965" s="3">
        <v>32535</v>
      </c>
      <c r="F965" s="3">
        <v>456</v>
      </c>
      <c r="G965" s="3" t="s">
        <v>881</v>
      </c>
      <c r="H965" s="3" t="str">
        <f ca="1">IFERROR(__xludf.DUMMYFUNCTION("GOOGLETRANSLATE(B965,""auto"",""en"")"),"Hair cleaning / care / styling")</f>
        <v>Hair cleaning / care / styling</v>
      </c>
      <c r="I965" s="3" t="str">
        <f ca="1">IFERROR(__xludf.DUMMYFUNCTION("GOOGLETRANSLATE(C965,""auto"",""en"")"),"other")</f>
        <v>other</v>
      </c>
    </row>
    <row r="966" spans="1:9" ht="13" x14ac:dyDescent="0.15">
      <c r="A966" s="2" t="s">
        <v>878</v>
      </c>
      <c r="B966" s="2" t="s">
        <v>992</v>
      </c>
      <c r="C966" s="2" t="s">
        <v>781</v>
      </c>
      <c r="D966" s="3">
        <v>627769</v>
      </c>
      <c r="E966" s="3">
        <v>17310</v>
      </c>
      <c r="F966" s="3">
        <v>5432</v>
      </c>
      <c r="G966" s="3" t="s">
        <v>881</v>
      </c>
      <c r="H966" s="3" t="str">
        <f ca="1">IFERROR(__xludf.DUMMYFUNCTION("GOOGLETRANSLATE(B966,""auto"",""en"")"),"Beauty pregnant mother")</f>
        <v>Beauty pregnant mother</v>
      </c>
      <c r="I966" s="3" t="str">
        <f ca="1">IFERROR(__xludf.DUMMYFUNCTION("GOOGLETRANSLATE(C966,""auto"",""en"")"),"toothpaste")</f>
        <v>toothpaste</v>
      </c>
    </row>
    <row r="967" spans="1:9" ht="13" x14ac:dyDescent="0.15">
      <c r="A967" s="2" t="s">
        <v>878</v>
      </c>
      <c r="B967" s="2" t="s">
        <v>992</v>
      </c>
      <c r="C967" s="2" t="s">
        <v>882</v>
      </c>
      <c r="D967" s="3">
        <v>627769</v>
      </c>
      <c r="E967" s="3">
        <v>17310</v>
      </c>
      <c r="F967" s="3">
        <v>4039</v>
      </c>
      <c r="G967" s="3" t="s">
        <v>881</v>
      </c>
      <c r="H967" s="3" t="str">
        <f ca="1">IFERROR(__xludf.DUMMYFUNCTION("GOOGLETRANSLATE(B967,""auto"",""en"")"),"Beauty pregnant mother")</f>
        <v>Beauty pregnant mother</v>
      </c>
      <c r="I967" s="3" t="str">
        <f ca="1">IFERROR(__xludf.DUMMYFUNCTION("GOOGLETRANSLATE(C967,""auto"",""en"")"),"Care packages")</f>
        <v>Care packages</v>
      </c>
    </row>
    <row r="968" spans="1:9" ht="13" x14ac:dyDescent="0.15">
      <c r="A968" s="2" t="s">
        <v>878</v>
      </c>
      <c r="B968" s="2" t="s">
        <v>992</v>
      </c>
      <c r="C968" s="2" t="s">
        <v>884</v>
      </c>
      <c r="D968" s="3">
        <v>627769</v>
      </c>
      <c r="E968" s="3">
        <v>17310</v>
      </c>
      <c r="F968" s="3">
        <v>2137</v>
      </c>
      <c r="G968" s="3" t="s">
        <v>881</v>
      </c>
      <c r="H968" s="3" t="str">
        <f ca="1">IFERROR(__xludf.DUMMYFUNCTION("GOOGLETRANSLATE(B968,""auto"",""en"")"),"Beauty pregnant mother")</f>
        <v>Beauty pregnant mother</v>
      </c>
      <c r="I968" s="3" t="str">
        <f ca="1">IFERROR(__xludf.DUMMYFUNCTION("GOOGLETRANSLATE(C968,""auto"",""en"")"),"Cleansing")</f>
        <v>Cleansing</v>
      </c>
    </row>
    <row r="969" spans="1:9" ht="13" x14ac:dyDescent="0.15">
      <c r="A969" s="2" t="s">
        <v>878</v>
      </c>
      <c r="B969" s="2" t="s">
        <v>992</v>
      </c>
      <c r="C969" s="2" t="s">
        <v>880</v>
      </c>
      <c r="D969" s="3">
        <v>627769</v>
      </c>
      <c r="E969" s="3">
        <v>17310</v>
      </c>
      <c r="F969" s="3">
        <v>1869</v>
      </c>
      <c r="G969" s="3" t="s">
        <v>881</v>
      </c>
      <c r="H969" s="3" t="str">
        <f ca="1">IFERROR(__xludf.DUMMYFUNCTION("GOOGLETRANSLATE(B969,""auto"",""en"")"),"Beauty pregnant mother")</f>
        <v>Beauty pregnant mother</v>
      </c>
      <c r="I969" s="3" t="str">
        <f ca="1">IFERROR(__xludf.DUMMYFUNCTION("GOOGLETRANSLATE(C969,""auto"",""en"")"),"Mask")</f>
        <v>Mask</v>
      </c>
    </row>
    <row r="970" spans="1:9" ht="13" x14ac:dyDescent="0.15">
      <c r="A970" s="2" t="s">
        <v>878</v>
      </c>
      <c r="B970" s="2" t="s">
        <v>992</v>
      </c>
      <c r="C970" s="3" t="s">
        <v>908</v>
      </c>
      <c r="D970" s="3">
        <v>627769</v>
      </c>
      <c r="E970" s="3">
        <v>17310</v>
      </c>
      <c r="F970" s="3">
        <v>1236</v>
      </c>
      <c r="G970" s="3" t="s">
        <v>881</v>
      </c>
      <c r="H970" s="3" t="str">
        <f ca="1">IFERROR(__xludf.DUMMYFUNCTION("GOOGLETRANSLATE(B970,""auto"",""en"")"),"Beauty pregnant mother")</f>
        <v>Beauty pregnant mother</v>
      </c>
      <c r="I970" s="3" t="str">
        <f ca="1">IFERROR(__xludf.DUMMYFUNCTION("GOOGLETRANSLATE(C970,""auto"",""en"")"),"Cream BB / CC Cream")</f>
        <v>Cream BB / CC Cream</v>
      </c>
    </row>
    <row r="971" spans="1:9" ht="13" x14ac:dyDescent="0.15">
      <c r="A971" s="2" t="s">
        <v>878</v>
      </c>
      <c r="B971" s="2" t="s">
        <v>992</v>
      </c>
      <c r="C971" s="2" t="s">
        <v>886</v>
      </c>
      <c r="D971" s="3">
        <v>627769</v>
      </c>
      <c r="E971" s="3">
        <v>17310</v>
      </c>
      <c r="F971" s="3">
        <v>460</v>
      </c>
      <c r="G971" s="3" t="s">
        <v>881</v>
      </c>
      <c r="H971" s="3" t="str">
        <f ca="1">IFERROR(__xludf.DUMMYFUNCTION("GOOGLETRANSLATE(B971,""auto"",""en"")"),"Beauty pregnant mother")</f>
        <v>Beauty pregnant mother</v>
      </c>
      <c r="I971" s="3" t="str">
        <f ca="1">IFERROR(__xludf.DUMMYFUNCTION("GOOGLETRANSLATE(C971,""auto"",""en"")"),"Makeup / Toner")</f>
        <v>Makeup / Toner</v>
      </c>
    </row>
    <row r="972" spans="1:9" ht="13" x14ac:dyDescent="0.15">
      <c r="A972" s="2" t="s">
        <v>878</v>
      </c>
      <c r="B972" s="2" t="s">
        <v>992</v>
      </c>
      <c r="C972" s="2" t="s">
        <v>976</v>
      </c>
      <c r="D972" s="3">
        <v>627769</v>
      </c>
      <c r="E972" s="3">
        <v>17310</v>
      </c>
      <c r="F972" s="3">
        <v>398</v>
      </c>
      <c r="G972" s="3" t="s">
        <v>881</v>
      </c>
      <c r="H972" s="3" t="str">
        <f ca="1">IFERROR(__xludf.DUMMYFUNCTION("GOOGLETRANSLATE(B972,""auto"",""en"")"),"Beauty pregnant mother")</f>
        <v>Beauty pregnant mother</v>
      </c>
      <c r="I972" s="3" t="str">
        <f ca="1">IFERROR(__xludf.DUMMYFUNCTION("GOOGLETRANSLATE(C972,""auto"",""en"")"),"Toothbrush / oral hygiene tool")</f>
        <v>Toothbrush / oral hygiene tool</v>
      </c>
    </row>
    <row r="973" spans="1:9" ht="13" x14ac:dyDescent="0.15">
      <c r="A973" s="2" t="s">
        <v>878</v>
      </c>
      <c r="B973" s="2" t="s">
        <v>992</v>
      </c>
      <c r="C973" s="2" t="s">
        <v>885</v>
      </c>
      <c r="D973" s="3">
        <v>627769</v>
      </c>
      <c r="E973" s="3">
        <v>17310</v>
      </c>
      <c r="F973" s="3">
        <v>338</v>
      </c>
      <c r="G973" s="3" t="s">
        <v>881</v>
      </c>
      <c r="H973" s="3" t="str">
        <f ca="1">IFERROR(__xludf.DUMMYFUNCTION("GOOGLETRANSLATE(B973,""auto"",""en"")"),"Beauty pregnant mother")</f>
        <v>Beauty pregnant mother</v>
      </c>
      <c r="I973" s="3" t="str">
        <f ca="1">IFERROR(__xludf.DUMMYFUNCTION("GOOGLETRANSLATE(C973,""auto"",""en"")"),"Lotion / Cream")</f>
        <v>Lotion / Cream</v>
      </c>
    </row>
    <row r="974" spans="1:9" ht="13" x14ac:dyDescent="0.15">
      <c r="A974" s="2" t="s">
        <v>878</v>
      </c>
      <c r="B974" s="2" t="s">
        <v>992</v>
      </c>
      <c r="C974" s="2" t="s">
        <v>703</v>
      </c>
      <c r="D974" s="3">
        <v>627769</v>
      </c>
      <c r="E974" s="3">
        <v>17310</v>
      </c>
      <c r="F974" s="3">
        <v>233</v>
      </c>
      <c r="G974" s="3" t="s">
        <v>881</v>
      </c>
      <c r="H974" s="3" t="str">
        <f ca="1">IFERROR(__xludf.DUMMYFUNCTION("GOOGLETRANSLATE(B974,""auto"",""en"")"),"Beauty pregnant mother")</f>
        <v>Beauty pregnant mother</v>
      </c>
      <c r="I974" s="3" t="str">
        <f ca="1">IFERROR(__xludf.DUMMYFUNCTION("GOOGLETRANSLATE(C974,""auto"",""en"")"),"shampoo")</f>
        <v>shampoo</v>
      </c>
    </row>
    <row r="975" spans="1:9" ht="13" x14ac:dyDescent="0.15">
      <c r="A975" s="2" t="s">
        <v>878</v>
      </c>
      <c r="B975" s="2" t="s">
        <v>992</v>
      </c>
      <c r="C975" s="2" t="s">
        <v>890</v>
      </c>
      <c r="D975" s="3">
        <v>627769</v>
      </c>
      <c r="E975" s="3">
        <v>17310</v>
      </c>
      <c r="F975" s="3">
        <v>193</v>
      </c>
      <c r="G975" s="3" t="s">
        <v>881</v>
      </c>
      <c r="H975" s="3" t="str">
        <f ca="1">IFERROR(__xludf.DUMMYFUNCTION("GOOGLETRANSLATE(B975,""auto"",""en"")"),"Beauty pregnant mother")</f>
        <v>Beauty pregnant mother</v>
      </c>
      <c r="I975" s="3" t="str">
        <f ca="1">IFERROR(__xludf.DUMMYFUNCTION("GOOGLETRANSLATE(C975,""auto"",""en"")"),"Cream")</f>
        <v>Cream</v>
      </c>
    </row>
    <row r="976" spans="1:9" ht="13" x14ac:dyDescent="0.15">
      <c r="A976" s="2" t="s">
        <v>878</v>
      </c>
      <c r="B976" s="2" t="s">
        <v>992</v>
      </c>
      <c r="C976" s="2" t="s">
        <v>989</v>
      </c>
      <c r="D976" s="3">
        <v>627769</v>
      </c>
      <c r="E976" s="3">
        <v>17310</v>
      </c>
      <c r="F976" s="3">
        <v>173</v>
      </c>
      <c r="G976" s="3" t="s">
        <v>881</v>
      </c>
      <c r="H976" s="3" t="str">
        <f ca="1">IFERROR(__xludf.DUMMYFUNCTION("GOOGLETRANSLATE(B976,""auto"",""en"")"),"Beauty pregnant mother")</f>
        <v>Beauty pregnant mother</v>
      </c>
      <c r="I976" s="3" t="str">
        <f ca="1">IFERROR(__xludf.DUMMYFUNCTION("GOOGLETRANSLATE(C976,""auto"",""en"")"),"Care packages")</f>
        <v>Care packages</v>
      </c>
    </row>
    <row r="977" spans="1:9" ht="13" x14ac:dyDescent="0.15">
      <c r="A977" s="2" t="s">
        <v>878</v>
      </c>
      <c r="B977" s="2" t="s">
        <v>992</v>
      </c>
      <c r="C977" s="2" t="s">
        <v>952</v>
      </c>
      <c r="D977" s="3">
        <v>627769</v>
      </c>
      <c r="E977" s="3">
        <v>17310</v>
      </c>
      <c r="F977" s="3">
        <v>128</v>
      </c>
      <c r="G977" s="3" t="s">
        <v>881</v>
      </c>
      <c r="H977" s="3" t="str">
        <f ca="1">IFERROR(__xludf.DUMMYFUNCTION("GOOGLETRANSLATE(B977,""auto"",""en"")"),"Beauty pregnant mother")</f>
        <v>Beauty pregnant mother</v>
      </c>
      <c r="I977" s="3" t="str">
        <f ca="1">IFERROR(__xludf.DUMMYFUNCTION("GOOGLETRANSLATE(C977,""auto"",""en"")"),"Body Massage")</f>
        <v>Body Massage</v>
      </c>
    </row>
    <row r="978" spans="1:9" ht="13" x14ac:dyDescent="0.15">
      <c r="A978" s="2" t="s">
        <v>878</v>
      </c>
      <c r="B978" s="2" t="s">
        <v>992</v>
      </c>
      <c r="C978" s="2" t="s">
        <v>954</v>
      </c>
      <c r="D978" s="3">
        <v>627769</v>
      </c>
      <c r="E978" s="3">
        <v>17310</v>
      </c>
      <c r="F978" s="3">
        <v>127</v>
      </c>
      <c r="G978" s="3" t="s">
        <v>881</v>
      </c>
      <c r="H978" s="3" t="str">
        <f ca="1">IFERROR(__xludf.DUMMYFUNCTION("GOOGLETRANSLATE(B978,""auto"",""en"")"),"Beauty pregnant mother")</f>
        <v>Beauty pregnant mother</v>
      </c>
      <c r="I978" s="3" t="str">
        <f ca="1">IFERROR(__xludf.DUMMYFUNCTION("GOOGLETRANSLATE(C978,""auto"",""en"")"),"Body Set")</f>
        <v>Body Set</v>
      </c>
    </row>
    <row r="979" spans="1:9" ht="13" x14ac:dyDescent="0.15">
      <c r="A979" s="2" t="s">
        <v>878</v>
      </c>
      <c r="B979" s="2" t="s">
        <v>992</v>
      </c>
      <c r="C979" s="2" t="s">
        <v>978</v>
      </c>
      <c r="D979" s="3">
        <v>627769</v>
      </c>
      <c r="E979" s="3">
        <v>17310</v>
      </c>
      <c r="F979" s="3">
        <v>124</v>
      </c>
      <c r="G979" s="3" t="s">
        <v>881</v>
      </c>
      <c r="H979" s="3" t="str">
        <f ca="1">IFERROR(__xludf.DUMMYFUNCTION("GOOGLETRANSLATE(B979,""auto"",""en"")"),"Beauty pregnant mother")</f>
        <v>Beauty pregnant mother</v>
      </c>
      <c r="I979" s="3" t="str">
        <f ca="1">IFERROR(__xludf.DUMMYFUNCTION("GOOGLETRANSLATE(C979,""auto"",""en"")"),"Mouthwash")</f>
        <v>Mouthwash</v>
      </c>
    </row>
    <row r="980" spans="1:9" ht="13" x14ac:dyDescent="0.15">
      <c r="A980" s="2" t="s">
        <v>878</v>
      </c>
      <c r="B980" s="2" t="s">
        <v>992</v>
      </c>
      <c r="C980" s="2" t="s">
        <v>897</v>
      </c>
      <c r="D980" s="3">
        <v>627769</v>
      </c>
      <c r="E980" s="3">
        <v>17310</v>
      </c>
      <c r="F980" s="3">
        <v>124</v>
      </c>
      <c r="G980" s="3" t="s">
        <v>881</v>
      </c>
      <c r="H980" s="3" t="str">
        <f ca="1">IFERROR(__xludf.DUMMYFUNCTION("GOOGLETRANSLATE(B980,""auto"",""en"")"),"Beauty pregnant mother")</f>
        <v>Beauty pregnant mother</v>
      </c>
      <c r="I980" s="3" t="str">
        <f ca="1">IFERROR(__xludf.DUMMYFUNCTION("GOOGLETRANSLATE(C980,""auto"",""en"")"),"lip balm")</f>
        <v>lip balm</v>
      </c>
    </row>
    <row r="981" spans="1:9" ht="13" x14ac:dyDescent="0.15">
      <c r="A981" s="2" t="s">
        <v>878</v>
      </c>
      <c r="B981" s="2" t="s">
        <v>992</v>
      </c>
      <c r="C981" s="2" t="s">
        <v>883</v>
      </c>
      <c r="D981" s="3">
        <v>627769</v>
      </c>
      <c r="E981" s="3">
        <v>17310</v>
      </c>
      <c r="F981" s="3">
        <v>103</v>
      </c>
      <c r="G981" s="3" t="s">
        <v>881</v>
      </c>
      <c r="H981" s="3" t="str">
        <f ca="1">IFERROR(__xludf.DUMMYFUNCTION("GOOGLETRANSLATE(B981,""auto"",""en"")"),"Beauty pregnant mother")</f>
        <v>Beauty pregnant mother</v>
      </c>
      <c r="I981" s="3" t="str">
        <f ca="1">IFERROR(__xludf.DUMMYFUNCTION("GOOGLETRANSLATE(C981,""auto"",""en"")"),"Sunscreen")</f>
        <v>Sunscreen</v>
      </c>
    </row>
    <row r="982" spans="1:9" ht="13" x14ac:dyDescent="0.15">
      <c r="A982" s="2" t="s">
        <v>878</v>
      </c>
      <c r="B982" s="2" t="s">
        <v>992</v>
      </c>
      <c r="C982" s="2" t="s">
        <v>888</v>
      </c>
      <c r="D982" s="3">
        <v>627769</v>
      </c>
      <c r="E982" s="3">
        <v>17310</v>
      </c>
      <c r="F982" s="3">
        <v>80</v>
      </c>
      <c r="G982" s="3" t="s">
        <v>881</v>
      </c>
      <c r="H982" s="3" t="str">
        <f ca="1">IFERROR(__xludf.DUMMYFUNCTION("GOOGLETRANSLATE(B982,""auto"",""en"")"),"Beauty pregnant mother")</f>
        <v>Beauty pregnant mother</v>
      </c>
      <c r="I982" s="3" t="str">
        <f ca="1">IFERROR(__xludf.DUMMYFUNCTION("GOOGLETRANSLATE(C982,""auto"",""en"")"),"Face Essence")</f>
        <v>Face Essence</v>
      </c>
    </row>
    <row r="983" spans="1:9" ht="13" x14ac:dyDescent="0.15">
      <c r="A983" s="2" t="s">
        <v>878</v>
      </c>
      <c r="B983" s="2" t="s">
        <v>992</v>
      </c>
      <c r="C983" s="2" t="s">
        <v>701</v>
      </c>
      <c r="D983" s="3">
        <v>627769</v>
      </c>
      <c r="E983" s="3">
        <v>17310</v>
      </c>
      <c r="F983" s="3">
        <v>74</v>
      </c>
      <c r="G983" s="3" t="s">
        <v>881</v>
      </c>
      <c r="H983" s="3" t="str">
        <f ca="1">IFERROR(__xludf.DUMMYFUNCTION("GOOGLETRANSLATE(B983,""auto"",""en"")"),"Beauty pregnant mother")</f>
        <v>Beauty pregnant mother</v>
      </c>
      <c r="I983" s="3" t="str">
        <f ca="1">IFERROR(__xludf.DUMMYFUNCTION("GOOGLETRANSLATE(C983,""auto"",""en"")"),"Shower Gel")</f>
        <v>Shower Gel</v>
      </c>
    </row>
    <row r="984" spans="1:9" ht="13" x14ac:dyDescent="0.15">
      <c r="A984" s="2" t="s">
        <v>878</v>
      </c>
      <c r="B984" s="2" t="s">
        <v>992</v>
      </c>
      <c r="C984" s="2" t="s">
        <v>950</v>
      </c>
      <c r="D984" s="3">
        <v>627769</v>
      </c>
      <c r="E984" s="3">
        <v>17310</v>
      </c>
      <c r="F984" s="3">
        <v>22</v>
      </c>
      <c r="G984" s="3" t="s">
        <v>881</v>
      </c>
      <c r="H984" s="3" t="str">
        <f ca="1">IFERROR(__xludf.DUMMYFUNCTION("GOOGLETRANSLATE(B984,""auto"",""en"")"),"Beauty pregnant mother")</f>
        <v>Beauty pregnant mother</v>
      </c>
      <c r="I984" s="3" t="str">
        <f ca="1">IFERROR(__xludf.DUMMYFUNCTION("GOOGLETRANSLATE(C984,""auto"",""en"")"),"Hand Cream")</f>
        <v>Hand Cream</v>
      </c>
    </row>
    <row r="985" spans="1:9" ht="13" x14ac:dyDescent="0.15">
      <c r="A985" s="2" t="s">
        <v>878</v>
      </c>
      <c r="B985" s="2" t="s">
        <v>992</v>
      </c>
      <c r="C985" s="2" t="s">
        <v>922</v>
      </c>
      <c r="D985" s="3">
        <v>627769</v>
      </c>
      <c r="E985" s="3">
        <v>17310</v>
      </c>
      <c r="F985" s="3">
        <v>9</v>
      </c>
      <c r="G985" s="3" t="s">
        <v>881</v>
      </c>
      <c r="H985" s="3" t="str">
        <f ca="1">IFERROR(__xludf.DUMMYFUNCTION("GOOGLETRANSLATE(B985,""auto"",""en"")"),"Beauty pregnant mother")</f>
        <v>Beauty pregnant mother</v>
      </c>
      <c r="I985" s="3" t="str">
        <f ca="1">IFERROR(__xludf.DUMMYFUNCTION("GOOGLETRANSLATE(C985,""auto"",""en"")"),"Foundation")</f>
        <v>Foundation</v>
      </c>
    </row>
    <row r="986" spans="1:9" ht="13" x14ac:dyDescent="0.15">
      <c r="A986" s="2" t="s">
        <v>878</v>
      </c>
      <c r="B986" s="2" t="s">
        <v>992</v>
      </c>
      <c r="C986" s="2" t="s">
        <v>895</v>
      </c>
      <c r="D986" s="3">
        <v>627769</v>
      </c>
      <c r="E986" s="3">
        <v>17310</v>
      </c>
      <c r="F986" s="3">
        <v>7</v>
      </c>
      <c r="G986" s="3" t="s">
        <v>881</v>
      </c>
      <c r="H986" s="3" t="str">
        <f ca="1">IFERROR(__xludf.DUMMYFUNCTION("GOOGLETRANSLATE(B986,""auto"",""en"")"),"Beauty pregnant mother")</f>
        <v>Beauty pregnant mother</v>
      </c>
      <c r="I986" s="3" t="str">
        <f ca="1">IFERROR(__xludf.DUMMYFUNCTION("GOOGLETRANSLATE(C986,""auto"",""en"")"),"Eye cream")</f>
        <v>Eye cream</v>
      </c>
    </row>
    <row r="987" spans="1:9" ht="13" x14ac:dyDescent="0.15">
      <c r="A987" s="2" t="s">
        <v>878</v>
      </c>
      <c r="B987" s="2" t="s">
        <v>992</v>
      </c>
      <c r="C987" s="2" t="s">
        <v>892</v>
      </c>
      <c r="D987" s="3">
        <v>627769</v>
      </c>
      <c r="E987" s="3">
        <v>17310</v>
      </c>
      <c r="F987" s="3">
        <v>6</v>
      </c>
      <c r="G987" s="3" t="s">
        <v>881</v>
      </c>
      <c r="H987" s="3" t="str">
        <f ca="1">IFERROR(__xludf.DUMMYFUNCTION("GOOGLETRANSLATE(B987,""auto"",""en"")"),"Beauty pregnant mother")</f>
        <v>Beauty pregnant mother</v>
      </c>
      <c r="I987" s="3" t="str">
        <f ca="1">IFERROR(__xludf.DUMMYFUNCTION("GOOGLETRANSLATE(C987,""auto"",""en"")"),"Mask")</f>
        <v>Mask</v>
      </c>
    </row>
    <row r="988" spans="1:9" ht="13" x14ac:dyDescent="0.15">
      <c r="A988" s="2" t="s">
        <v>878</v>
      </c>
      <c r="B988" s="2" t="s">
        <v>993</v>
      </c>
      <c r="C988" s="2" t="s">
        <v>994</v>
      </c>
      <c r="D988" s="3">
        <v>627769</v>
      </c>
      <c r="E988" s="3">
        <v>1117</v>
      </c>
      <c r="F988" s="3">
        <v>653</v>
      </c>
      <c r="G988" s="3" t="s">
        <v>881</v>
      </c>
      <c r="H988" s="3" t="str">
        <f ca="1">IFERROR(__xludf.DUMMYFUNCTION("GOOGLETRANSLATE(B988,""auto"",""en"")"),"Aromatherapy essential oils")</f>
        <v>Aromatherapy essential oils</v>
      </c>
      <c r="I988" s="3" t="str">
        <f ca="1">IFERROR(__xludf.DUMMYFUNCTION("GOOGLETRANSLATE(C988,""auto"",""en"")"),"Pure dew / flower water")</f>
        <v>Pure dew / flower water</v>
      </c>
    </row>
    <row r="989" spans="1:9" ht="13" x14ac:dyDescent="0.15">
      <c r="A989" s="2" t="s">
        <v>878</v>
      </c>
      <c r="B989" s="2" t="s">
        <v>993</v>
      </c>
      <c r="C989" s="2" t="s">
        <v>995</v>
      </c>
      <c r="D989" s="3">
        <v>627769</v>
      </c>
      <c r="E989" s="3">
        <v>1117</v>
      </c>
      <c r="F989" s="3">
        <v>241</v>
      </c>
      <c r="G989" s="3" t="s">
        <v>881</v>
      </c>
      <c r="H989" s="3" t="str">
        <f ca="1">IFERROR(__xludf.DUMMYFUNCTION("GOOGLETRANSLATE(B989,""auto"",""en"")"),"Aromatherapy essential oils")</f>
        <v>Aromatherapy essential oils</v>
      </c>
      <c r="I989" s="3" t="str">
        <f ca="1">IFERROR(__xludf.DUMMYFUNCTION("GOOGLETRANSLATE(C989,""auto"",""en"")"),"Essential oils")</f>
        <v>Essential oils</v>
      </c>
    </row>
    <row r="990" spans="1:9" ht="13" x14ac:dyDescent="0.15">
      <c r="A990" s="2" t="s">
        <v>878</v>
      </c>
      <c r="B990" s="2" t="s">
        <v>993</v>
      </c>
      <c r="C990" s="2" t="s">
        <v>996</v>
      </c>
      <c r="D990" s="3">
        <v>627769</v>
      </c>
      <c r="E990" s="3">
        <v>1117</v>
      </c>
      <c r="F990" s="3">
        <v>157</v>
      </c>
      <c r="G990" s="3" t="s">
        <v>881</v>
      </c>
      <c r="H990" s="3" t="str">
        <f ca="1">IFERROR(__xludf.DUMMYFUNCTION("GOOGLETRANSLATE(B990,""auto"",""en"")"),"Aromatherapy essential oils")</f>
        <v>Aromatherapy essential oils</v>
      </c>
      <c r="I990" s="3" t="str">
        <f ca="1">IFERROR(__xludf.DUMMYFUNCTION("GOOGLETRANSLATE(C990,""auto"",""en"")"),"Hand / oil soap")</f>
        <v>Hand / oil soap</v>
      </c>
    </row>
    <row r="991" spans="1:9" ht="13" x14ac:dyDescent="0.15">
      <c r="A991" s="2" t="s">
        <v>878</v>
      </c>
      <c r="B991" s="2" t="s">
        <v>993</v>
      </c>
      <c r="C991" s="2" t="s">
        <v>997</v>
      </c>
      <c r="D991" s="3">
        <v>627769</v>
      </c>
      <c r="E991" s="3">
        <v>1117</v>
      </c>
      <c r="F991" s="3">
        <v>66</v>
      </c>
      <c r="G991" s="3" t="s">
        <v>881</v>
      </c>
      <c r="H991" s="3" t="str">
        <f ca="1">IFERROR(__xludf.DUMMYFUNCTION("GOOGLETRANSLATE(B991,""auto"",""en"")"),"Aromatherapy essential oils")</f>
        <v>Aromatherapy essential oils</v>
      </c>
      <c r="I991" s="3" t="str">
        <f ca="1">IFERROR(__xludf.DUMMYFUNCTION("GOOGLETRANSLATE(C991,""auto"",""en"")"),"Other essential oils aromatherapy")</f>
        <v>Other essential oils aromatherapy</v>
      </c>
    </row>
    <row r="992" spans="1:9" ht="13" x14ac:dyDescent="0.15">
      <c r="A992" s="2" t="s">
        <v>878</v>
      </c>
      <c r="B992" s="2" t="s">
        <v>998</v>
      </c>
      <c r="C992" s="2" t="s">
        <v>999</v>
      </c>
      <c r="D992" s="3">
        <v>627769</v>
      </c>
      <c r="E992" s="3">
        <v>1063</v>
      </c>
      <c r="F992" s="3">
        <v>679</v>
      </c>
      <c r="G992" s="3" t="s">
        <v>881</v>
      </c>
      <c r="H992" s="3" t="str">
        <f ca="1">IFERROR(__xludf.DUMMYFUNCTION("GOOGLETRANSLATE(B992,""auto"",""en"")"),"men's skin care")</f>
        <v>men's skin care</v>
      </c>
      <c r="I992" s="3" t="str">
        <f ca="1">IFERROR(__xludf.DUMMYFUNCTION("GOOGLETRANSLATE(C992,""auto"",""en"")"),"Men Cleansing")</f>
        <v>Men Cleansing</v>
      </c>
    </row>
    <row r="993" spans="1:9" ht="13" x14ac:dyDescent="0.15">
      <c r="A993" s="2" t="s">
        <v>878</v>
      </c>
      <c r="B993" s="2" t="s">
        <v>998</v>
      </c>
      <c r="C993" s="2" t="s">
        <v>1000</v>
      </c>
      <c r="D993" s="3">
        <v>627769</v>
      </c>
      <c r="E993" s="3">
        <v>1063</v>
      </c>
      <c r="F993" s="3">
        <v>259</v>
      </c>
      <c r="G993" s="3" t="s">
        <v>881</v>
      </c>
      <c r="H993" s="3" t="str">
        <f ca="1">IFERROR(__xludf.DUMMYFUNCTION("GOOGLETRANSLATE(B993,""auto"",""en"")"),"men's skin care")</f>
        <v>men's skin care</v>
      </c>
      <c r="I993" s="3" t="str">
        <f ca="1">IFERROR(__xludf.DUMMYFUNCTION("GOOGLETRANSLATE(C993,""auto"",""en"")"),"Men Care Set")</f>
        <v>Men Care Set</v>
      </c>
    </row>
    <row r="994" spans="1:9" ht="13" x14ac:dyDescent="0.15">
      <c r="A994" s="2" t="s">
        <v>878</v>
      </c>
      <c r="B994" s="2" t="s">
        <v>998</v>
      </c>
      <c r="C994" s="2" t="s">
        <v>1001</v>
      </c>
      <c r="D994" s="3">
        <v>627769</v>
      </c>
      <c r="E994" s="3">
        <v>1063</v>
      </c>
      <c r="F994" s="3">
        <v>66</v>
      </c>
      <c r="G994" s="3" t="s">
        <v>881</v>
      </c>
      <c r="H994" s="3" t="str">
        <f ca="1">IFERROR(__xludf.DUMMYFUNCTION("GOOGLETRANSLATE(B994,""auto"",""en"")"),"men's skin care")</f>
        <v>men's skin care</v>
      </c>
      <c r="I994" s="3" t="str">
        <f ca="1">IFERROR(__xludf.DUMMYFUNCTION("GOOGLETRANSLATE(C994,""auto"",""en"")"),"Gentleman's Facial Cream")</f>
        <v>Gentleman's Facial Cream</v>
      </c>
    </row>
    <row r="995" spans="1:9" ht="13" x14ac:dyDescent="0.15">
      <c r="A995" s="2" t="s">
        <v>878</v>
      </c>
      <c r="B995" s="2" t="s">
        <v>998</v>
      </c>
      <c r="C995" s="2" t="s">
        <v>1002</v>
      </c>
      <c r="D995" s="3">
        <v>627769</v>
      </c>
      <c r="E995" s="3">
        <v>1063</v>
      </c>
      <c r="F995" s="3">
        <v>17</v>
      </c>
      <c r="G995" s="3" t="s">
        <v>881</v>
      </c>
      <c r="H995" s="3" t="str">
        <f ca="1">IFERROR(__xludf.DUMMYFUNCTION("GOOGLETRANSLATE(B995,""auto"",""en"")"),"men's skin care")</f>
        <v>men's skin care</v>
      </c>
      <c r="I995" s="3" t="str">
        <f ca="1">IFERROR(__xludf.DUMMYFUNCTION("GOOGLETRANSLATE(C995,""auto"",""en"")"),"Men's Mask")</f>
        <v>Men's Mask</v>
      </c>
    </row>
    <row r="996" spans="1:9" ht="13" x14ac:dyDescent="0.15">
      <c r="A996" s="2" t="s">
        <v>878</v>
      </c>
      <c r="B996" s="2" t="s">
        <v>998</v>
      </c>
      <c r="C996" s="2" t="s">
        <v>1003</v>
      </c>
      <c r="D996" s="3">
        <v>627769</v>
      </c>
      <c r="E996" s="3">
        <v>1063</v>
      </c>
      <c r="F996" s="3">
        <v>14</v>
      </c>
      <c r="G996" s="3" t="s">
        <v>881</v>
      </c>
      <c r="H996" s="3" t="str">
        <f ca="1">IFERROR(__xludf.DUMMYFUNCTION("GOOGLETRANSLATE(B996,""auto"",""en"")"),"men's skin care")</f>
        <v>men's skin care</v>
      </c>
      <c r="I996" s="3" t="str">
        <f ca="1">IFERROR(__xludf.DUMMYFUNCTION("GOOGLETRANSLATE(C996,""auto"",""en"")"),"Men Toner")</f>
        <v>Men Toner</v>
      </c>
    </row>
    <row r="997" spans="1:9" ht="13" x14ac:dyDescent="0.15">
      <c r="A997" s="2" t="s">
        <v>878</v>
      </c>
      <c r="B997" s="2" t="s">
        <v>998</v>
      </c>
      <c r="C997" s="2" t="s">
        <v>1004</v>
      </c>
      <c r="D997" s="3">
        <v>627769</v>
      </c>
      <c r="E997" s="3">
        <v>1063</v>
      </c>
      <c r="F997" s="3">
        <v>11</v>
      </c>
      <c r="G997" s="3" t="s">
        <v>881</v>
      </c>
      <c r="H997" s="3" t="str">
        <f ca="1">IFERROR(__xludf.DUMMYFUNCTION("GOOGLETRANSLATE(B997,""auto"",""en"")"),"men's skin care")</f>
        <v>men's skin care</v>
      </c>
      <c r="I997" s="3" t="str">
        <f ca="1">IFERROR(__xludf.DUMMYFUNCTION("GOOGLETRANSLATE(C997,""auto"",""en"")"),"Men sunscreen")</f>
        <v>Men sunscreen</v>
      </c>
    </row>
    <row r="998" spans="1:9" ht="13" x14ac:dyDescent="0.15">
      <c r="A998" s="2" t="s">
        <v>878</v>
      </c>
      <c r="B998" s="2" t="s">
        <v>998</v>
      </c>
      <c r="C998" s="2" t="s">
        <v>1005</v>
      </c>
      <c r="D998" s="3">
        <v>627769</v>
      </c>
      <c r="E998" s="3">
        <v>1063</v>
      </c>
      <c r="F998" s="3">
        <v>10</v>
      </c>
      <c r="G998" s="3" t="s">
        <v>881</v>
      </c>
      <c r="H998" s="3" t="str">
        <f ca="1">IFERROR(__xludf.DUMMYFUNCTION("GOOGLETRANSLATE(B998,""auto"",""en"")"),"men's skin care")</f>
        <v>men's skin care</v>
      </c>
      <c r="I998" s="3" t="str">
        <f ca="1">IFERROR(__xludf.DUMMYFUNCTION("GOOGLETRANSLATE(C998,""auto"",""en"")"),"Other men's care")</f>
        <v>Other men's care</v>
      </c>
    </row>
    <row r="999" spans="1:9" ht="13" x14ac:dyDescent="0.15">
      <c r="A999" s="2" t="s">
        <v>878</v>
      </c>
      <c r="B999" s="2" t="s">
        <v>998</v>
      </c>
      <c r="C999" s="2" t="s">
        <v>1006</v>
      </c>
      <c r="D999" s="3">
        <v>627769</v>
      </c>
      <c r="E999" s="3">
        <v>1063</v>
      </c>
      <c r="F999" s="3">
        <v>6</v>
      </c>
      <c r="G999" s="3" t="s">
        <v>881</v>
      </c>
      <c r="H999" s="3" t="str">
        <f ca="1">IFERROR(__xludf.DUMMYFUNCTION("GOOGLETRANSLATE(B999,""auto"",""en"")"),"men's skin care")</f>
        <v>men's skin care</v>
      </c>
      <c r="I999" s="3" t="str">
        <f ca="1">IFERROR(__xludf.DUMMYFUNCTION("GOOGLETRANSLATE(C999,""auto"",""en"")"),"Men Spray")</f>
        <v>Men Spray</v>
      </c>
    </row>
    <row r="1000" spans="1:9" ht="13" x14ac:dyDescent="0.15">
      <c r="A1000" s="2" t="s">
        <v>878</v>
      </c>
      <c r="B1000" s="2" t="s">
        <v>998</v>
      </c>
      <c r="C1000" s="2" t="s">
        <v>1007</v>
      </c>
      <c r="D1000" s="3">
        <v>627769</v>
      </c>
      <c r="E1000" s="3">
        <v>1063</v>
      </c>
      <c r="F1000" s="3">
        <v>1</v>
      </c>
      <c r="G1000" s="3" t="s">
        <v>881</v>
      </c>
      <c r="H1000" s="3" t="str">
        <f ca="1">IFERROR(__xludf.DUMMYFUNCTION("GOOGLETRANSLATE(B1000,""auto"",""en"")"),"men's skin care")</f>
        <v>men's skin care</v>
      </c>
      <c r="I1000" s="3" t="str">
        <f ca="1">IFERROR(__xludf.DUMMYFUNCTION("GOOGLETRANSLATE(C1000,""auto"",""en"")"),"Men's Mask")</f>
        <v>Men's Mask</v>
      </c>
    </row>
    <row r="1001" spans="1:9" ht="13" x14ac:dyDescent="0.15">
      <c r="A1001" s="2" t="s">
        <v>878</v>
      </c>
      <c r="B1001" s="2" t="s">
        <v>1008</v>
      </c>
      <c r="C1001" s="2" t="s">
        <v>1008</v>
      </c>
      <c r="D1001" s="3">
        <v>627769</v>
      </c>
      <c r="E1001" s="3">
        <v>4</v>
      </c>
      <c r="F1001" s="3">
        <v>4</v>
      </c>
      <c r="G1001" s="3" t="s">
        <v>881</v>
      </c>
      <c r="H1001" s="3" t="str">
        <f ca="1">IFERROR(__xludf.DUMMYFUNCTION("GOOGLETRANSLATE(B1001,""auto"",""en"")"),"Other Skin Care")</f>
        <v>Other Skin Care</v>
      </c>
      <c r="I1001" s="3" t="str">
        <f ca="1">IFERROR(__xludf.DUMMYFUNCTION("GOOGLETRANSLATE(C1001,""auto"",""en"")"),"Other Skin Care")</f>
        <v>Other Skin Care</v>
      </c>
    </row>
    <row r="1002" spans="1:9" ht="13" x14ac:dyDescent="0.15">
      <c r="A1002" s="2" t="s">
        <v>1009</v>
      </c>
      <c r="B1002" s="2" t="s">
        <v>1010</v>
      </c>
      <c r="C1002" s="2" t="s">
        <v>1011</v>
      </c>
      <c r="D1002" s="3">
        <v>482021</v>
      </c>
      <c r="E1002" s="3">
        <v>209887</v>
      </c>
      <c r="F1002" s="3">
        <v>188118</v>
      </c>
      <c r="G1002" s="3" t="s">
        <v>1012</v>
      </c>
      <c r="H1002" s="3" t="str">
        <f ca="1">IFERROR(__xludf.DUMMYFUNCTION("GOOGLETRANSLATE(B1002,""auto"",""en"")"),"Fresh fruits and vegetables")</f>
        <v>Fresh fruits and vegetables</v>
      </c>
      <c r="I1002" s="3" t="str">
        <f ca="1">IFERROR(__xludf.DUMMYFUNCTION("GOOGLETRANSLATE(C1002,""auto"",""en"")"),"fresh fruits")</f>
        <v>fresh fruits</v>
      </c>
    </row>
    <row r="1003" spans="1:9" ht="13" x14ac:dyDescent="0.15">
      <c r="A1003" s="2" t="s">
        <v>1009</v>
      </c>
      <c r="B1003" s="2" t="s">
        <v>1010</v>
      </c>
      <c r="C1003" s="2" t="s">
        <v>1013</v>
      </c>
      <c r="D1003" s="3">
        <v>482021</v>
      </c>
      <c r="E1003" s="3">
        <v>209887</v>
      </c>
      <c r="F1003" s="3">
        <v>7631</v>
      </c>
      <c r="G1003" s="3" t="s">
        <v>1012</v>
      </c>
      <c r="H1003" s="3" t="str">
        <f ca="1">IFERROR(__xludf.DUMMYFUNCTION("GOOGLETRANSLATE(B1003,""auto"",""en"")"),"Fresh fruits and vegetables")</f>
        <v>Fresh fruits and vegetables</v>
      </c>
      <c r="I1003" s="3" t="str">
        <f ca="1">IFERROR(__xludf.DUMMYFUNCTION("GOOGLETRANSLATE(C1003,""auto"",""en"")"),"Ice cream / frozen food")</f>
        <v>Ice cream / frozen food</v>
      </c>
    </row>
    <row r="1004" spans="1:9" ht="13" x14ac:dyDescent="0.15">
      <c r="A1004" s="2" t="s">
        <v>1009</v>
      </c>
      <c r="B1004" s="2" t="s">
        <v>1010</v>
      </c>
      <c r="C1004" s="2" t="s">
        <v>1014</v>
      </c>
      <c r="D1004" s="3">
        <v>482021</v>
      </c>
      <c r="E1004" s="3">
        <v>209887</v>
      </c>
      <c r="F1004" s="3">
        <v>6734</v>
      </c>
      <c r="G1004" s="3" t="s">
        <v>1012</v>
      </c>
      <c r="H1004" s="3" t="str">
        <f ca="1">IFERROR(__xludf.DUMMYFUNCTION("GOOGLETRANSLATE(B1004,""auto"",""en"")"),"Fresh fruits and vegetables")</f>
        <v>Fresh fruits and vegetables</v>
      </c>
      <c r="I1004" s="3" t="str">
        <f ca="1">IFERROR(__xludf.DUMMYFUNCTION("GOOGLETRANSLATE(C1004,""auto"",""en"")"),"fresh vegetables")</f>
        <v>fresh vegetables</v>
      </c>
    </row>
    <row r="1005" spans="1:9" ht="13" x14ac:dyDescent="0.15">
      <c r="A1005" s="2" t="s">
        <v>1009</v>
      </c>
      <c r="B1005" s="2" t="s">
        <v>1010</v>
      </c>
      <c r="C1005" s="2" t="s">
        <v>1015</v>
      </c>
      <c r="D1005" s="3">
        <v>482021</v>
      </c>
      <c r="E1005" s="3">
        <v>209887</v>
      </c>
      <c r="F1005" s="3">
        <v>2959</v>
      </c>
      <c r="G1005" s="3" t="s">
        <v>1012</v>
      </c>
      <c r="H1005" s="3" t="str">
        <f ca="1">IFERROR(__xludf.DUMMYFUNCTION("GOOGLETRANSLATE(B1005,""auto"",""en"")"),"Fresh fruits and vegetables")</f>
        <v>Fresh fruits and vegetables</v>
      </c>
      <c r="I1005" s="3" t="str">
        <f ca="1">IFERROR(__xludf.DUMMYFUNCTION("GOOGLETRANSLATE(C1005,""auto"",""en"")"),"Seafood / fish / meat")</f>
        <v>Seafood / fish / meat</v>
      </c>
    </row>
    <row r="1006" spans="1:9" ht="13" x14ac:dyDescent="0.15">
      <c r="A1006" s="2" t="s">
        <v>1009</v>
      </c>
      <c r="B1006" s="2" t="s">
        <v>1010</v>
      </c>
      <c r="C1006" s="2" t="s">
        <v>1016</v>
      </c>
      <c r="D1006" s="3">
        <v>482021</v>
      </c>
      <c r="E1006" s="3">
        <v>209887</v>
      </c>
      <c r="F1006" s="3">
        <v>2281</v>
      </c>
      <c r="G1006" s="3" t="s">
        <v>1012</v>
      </c>
      <c r="H1006" s="3" t="str">
        <f ca="1">IFERROR(__xludf.DUMMYFUNCTION("GOOGLETRANSLATE(B1006,""auto"",""en"")"),"Fresh fruits and vegetables")</f>
        <v>Fresh fruits and vegetables</v>
      </c>
      <c r="I1006" s="3" t="str">
        <f ca="1">IFERROR(__xludf.DUMMYFUNCTION("GOOGLETRANSLATE(C1006,""auto"",""en"")"),"Egg / egg products")</f>
        <v>Egg / egg products</v>
      </c>
    </row>
    <row r="1007" spans="1:9" ht="13" x14ac:dyDescent="0.15">
      <c r="A1007" s="2" t="s">
        <v>1009</v>
      </c>
      <c r="B1007" s="2" t="s">
        <v>1010</v>
      </c>
      <c r="C1007" s="2" t="s">
        <v>1017</v>
      </c>
      <c r="D1007" s="3">
        <v>482021</v>
      </c>
      <c r="E1007" s="3">
        <v>209887</v>
      </c>
      <c r="F1007" s="3">
        <v>2164</v>
      </c>
      <c r="G1007" s="3" t="s">
        <v>1012</v>
      </c>
      <c r="H1007" s="3" t="str">
        <f ca="1">IFERROR(__xludf.DUMMYFUNCTION("GOOGLETRANSLATE(B1007,""auto"",""en"")"),"Fresh fruits and vegetables")</f>
        <v>Fresh fruits and vegetables</v>
      </c>
      <c r="I1007" s="3" t="str">
        <f ca="1">IFERROR(__xludf.DUMMYFUNCTION("GOOGLETRANSLATE(C1007,""auto"",""en"")"),"Preserved foods")</f>
        <v>Preserved foods</v>
      </c>
    </row>
    <row r="1008" spans="1:9" ht="13" x14ac:dyDescent="0.15">
      <c r="A1008" s="2" t="s">
        <v>1009</v>
      </c>
      <c r="B1008" s="2" t="s">
        <v>1018</v>
      </c>
      <c r="C1008" s="2" t="s">
        <v>782</v>
      </c>
      <c r="D1008" s="3">
        <v>482021</v>
      </c>
      <c r="E1008" s="3">
        <v>126867</v>
      </c>
      <c r="F1008" s="3">
        <v>83254</v>
      </c>
      <c r="G1008" s="3" t="s">
        <v>1012</v>
      </c>
      <c r="H1008" s="3" t="str">
        <f ca="1">IFERROR(__xludf.DUMMYFUNCTION("GOOGLETRANSLATE(B1008,""auto"",""en"")"),"Pecan / nuts / roasted")</f>
        <v>Pecan / nuts / roasted</v>
      </c>
      <c r="I1008" s="3" t="str">
        <f ca="1">IFERROR(__xludf.DUMMYFUNCTION("GOOGLETRANSLATE(C1008,""auto"",""en"")"),"other")</f>
        <v>other</v>
      </c>
    </row>
    <row r="1009" spans="1:9" ht="13" x14ac:dyDescent="0.15">
      <c r="A1009" s="2" t="s">
        <v>1009</v>
      </c>
      <c r="B1009" s="2" t="s">
        <v>1018</v>
      </c>
      <c r="C1009" s="2" t="s">
        <v>1019</v>
      </c>
      <c r="D1009" s="3">
        <v>482021</v>
      </c>
      <c r="E1009" s="3">
        <v>126867</v>
      </c>
      <c r="F1009" s="3">
        <v>15630</v>
      </c>
      <c r="G1009" s="3" t="s">
        <v>1012</v>
      </c>
      <c r="H1009" s="3" t="str">
        <f ca="1">IFERROR(__xludf.DUMMYFUNCTION("GOOGLETRANSLATE(B1009,""auto"",""en"")"),"Pecan / nuts / roasted")</f>
        <v>Pecan / nuts / roasted</v>
      </c>
      <c r="I1009" s="3" t="str">
        <f ca="1">IFERROR(__xludf.DUMMYFUNCTION("GOOGLETRANSLATE(C1009,""auto"",""en"")"),"Almond")</f>
        <v>Almond</v>
      </c>
    </row>
    <row r="1010" spans="1:9" ht="13" x14ac:dyDescent="0.15">
      <c r="A1010" s="2" t="s">
        <v>1009</v>
      </c>
      <c r="B1010" s="2" t="s">
        <v>1018</v>
      </c>
      <c r="C1010" s="2" t="s">
        <v>1020</v>
      </c>
      <c r="D1010" s="3">
        <v>482021</v>
      </c>
      <c r="E1010" s="3">
        <v>126867</v>
      </c>
      <c r="F1010" s="3">
        <v>7663</v>
      </c>
      <c r="G1010" s="3" t="s">
        <v>1012</v>
      </c>
      <c r="H1010" s="3" t="str">
        <f ca="1">IFERROR(__xludf.DUMMYFUNCTION("GOOGLETRANSLATE(B1010,""auto"",""en"")"),"Pecan / nuts / roasted")</f>
        <v>Pecan / nuts / roasted</v>
      </c>
      <c r="I1010" s="3" t="str">
        <f ca="1">IFERROR(__xludf.DUMMYFUNCTION("GOOGLETRANSLATE(C1010,""auto"",""en"")"),"Melon seeds")</f>
        <v>Melon seeds</v>
      </c>
    </row>
    <row r="1011" spans="1:9" ht="13" x14ac:dyDescent="0.15">
      <c r="A1011" s="2" t="s">
        <v>1009</v>
      </c>
      <c r="B1011" s="2" t="s">
        <v>1018</v>
      </c>
      <c r="C1011" s="2" t="s">
        <v>1021</v>
      </c>
      <c r="D1011" s="3">
        <v>482021</v>
      </c>
      <c r="E1011" s="3">
        <v>126867</v>
      </c>
      <c r="F1011" s="3">
        <v>4745</v>
      </c>
      <c r="G1011" s="3" t="s">
        <v>1012</v>
      </c>
      <c r="H1011" s="3" t="str">
        <f ca="1">IFERROR(__xludf.DUMMYFUNCTION("GOOGLETRANSLATE(B1011,""auto"",""en"")"),"Pecan / nuts / roasted")</f>
        <v>Pecan / nuts / roasted</v>
      </c>
      <c r="I1011" s="3" t="str">
        <f ca="1">IFERROR(__xludf.DUMMYFUNCTION("GOOGLETRANSLATE(C1011,""auto"",""en"")"),"Nut combination")</f>
        <v>Nut combination</v>
      </c>
    </row>
    <row r="1012" spans="1:9" ht="13" x14ac:dyDescent="0.15">
      <c r="A1012" s="2" t="s">
        <v>1009</v>
      </c>
      <c r="B1012" s="2" t="s">
        <v>1018</v>
      </c>
      <c r="C1012" s="2" t="s">
        <v>92</v>
      </c>
      <c r="D1012" s="3">
        <v>482021</v>
      </c>
      <c r="E1012" s="3">
        <v>126867</v>
      </c>
      <c r="F1012" s="3">
        <v>3404</v>
      </c>
      <c r="G1012" s="3" t="s">
        <v>1012</v>
      </c>
      <c r="H1012" s="3" t="str">
        <f ca="1">IFERROR(__xludf.DUMMYFUNCTION("GOOGLETRANSLATE(B1012,""auto"",""en"")"),"Pecan / nuts / roasted")</f>
        <v>Pecan / nuts / roasted</v>
      </c>
      <c r="I1012" s="3" t="str">
        <f ca="1">IFERROR(__xludf.DUMMYFUNCTION("GOOGLETRANSLATE(C1012,""auto"",""en"")"),"other")</f>
        <v>other</v>
      </c>
    </row>
    <row r="1013" spans="1:9" ht="13" x14ac:dyDescent="0.15">
      <c r="A1013" s="2" t="s">
        <v>1009</v>
      </c>
      <c r="B1013" s="2" t="s">
        <v>1018</v>
      </c>
      <c r="C1013" s="2" t="s">
        <v>1022</v>
      </c>
      <c r="D1013" s="3">
        <v>482021</v>
      </c>
      <c r="E1013" s="3">
        <v>126867</v>
      </c>
      <c r="F1013" s="3">
        <v>2589</v>
      </c>
      <c r="G1013" s="3" t="s">
        <v>1012</v>
      </c>
      <c r="H1013" s="3" t="str">
        <f ca="1">IFERROR(__xludf.DUMMYFUNCTION("GOOGLETRANSLATE(B1013,""auto"",""en"")"),"Pecan / nuts / roasted")</f>
        <v>Pecan / nuts / roasted</v>
      </c>
      <c r="I1013" s="3" t="str">
        <f ca="1">IFERROR(__xludf.DUMMYFUNCTION("GOOGLETRANSLATE(C1013,""auto"",""en"")"),"Shrimp")</f>
        <v>Shrimp</v>
      </c>
    </row>
    <row r="1014" spans="1:9" ht="13" x14ac:dyDescent="0.15">
      <c r="A1014" s="2" t="s">
        <v>1009</v>
      </c>
      <c r="B1014" s="2" t="s">
        <v>1018</v>
      </c>
      <c r="C1014" s="2" t="s">
        <v>1023</v>
      </c>
      <c r="D1014" s="3">
        <v>482021</v>
      </c>
      <c r="E1014" s="3">
        <v>126867</v>
      </c>
      <c r="F1014" s="3">
        <v>1904</v>
      </c>
      <c r="G1014" s="3" t="s">
        <v>1012</v>
      </c>
      <c r="H1014" s="3" t="str">
        <f ca="1">IFERROR(__xludf.DUMMYFUNCTION("GOOGLETRANSLATE(B1014,""auto"",""en"")"),"Pecan / nuts / roasted")</f>
        <v>Pecan / nuts / roasted</v>
      </c>
      <c r="I1014" s="3" t="str">
        <f ca="1">IFERROR(__xludf.DUMMYFUNCTION("GOOGLETRANSLATE(C1014,""auto"",""en"")"),"Macadamia Nuts")</f>
        <v>Macadamia Nuts</v>
      </c>
    </row>
    <row r="1015" spans="1:9" ht="13" x14ac:dyDescent="0.15">
      <c r="A1015" s="2" t="s">
        <v>1009</v>
      </c>
      <c r="B1015" s="2" t="s">
        <v>1018</v>
      </c>
      <c r="C1015" s="2" t="s">
        <v>1024</v>
      </c>
      <c r="D1015" s="3">
        <v>482021</v>
      </c>
      <c r="E1015" s="3">
        <v>126867</v>
      </c>
      <c r="F1015" s="3">
        <v>1292</v>
      </c>
      <c r="G1015" s="3" t="s">
        <v>1012</v>
      </c>
      <c r="H1015" s="3" t="str">
        <f ca="1">IFERROR(__xludf.DUMMYFUNCTION("GOOGLETRANSLATE(B1015,""auto"",""en"")"),"Pecan / nuts / roasted")</f>
        <v>Pecan / nuts / roasted</v>
      </c>
      <c r="I1015" s="3" t="str">
        <f ca="1">IFERROR(__xludf.DUMMYFUNCTION("GOOGLETRANSLATE(C1015,""auto"",""en"")"),"peanut")</f>
        <v>peanut</v>
      </c>
    </row>
    <row r="1016" spans="1:9" ht="13" x14ac:dyDescent="0.15">
      <c r="A1016" s="2" t="s">
        <v>1009</v>
      </c>
      <c r="B1016" s="2" t="s">
        <v>1018</v>
      </c>
      <c r="C1016" s="2" t="s">
        <v>1025</v>
      </c>
      <c r="D1016" s="3">
        <v>482021</v>
      </c>
      <c r="E1016" s="3">
        <v>126867</v>
      </c>
      <c r="F1016" s="3">
        <v>1287</v>
      </c>
      <c r="G1016" s="3" t="s">
        <v>1012</v>
      </c>
      <c r="H1016" s="3" t="str">
        <f ca="1">IFERROR(__xludf.DUMMYFUNCTION("GOOGLETRANSLATE(B1016,""auto"",""en"")"),"Pecan / nuts / roasted")</f>
        <v>Pecan / nuts / roasted</v>
      </c>
      <c r="I1016" s="3" t="str">
        <f ca="1">IFERROR(__xludf.DUMMYFUNCTION("GOOGLETRANSLATE(C1016,""auto"",""en"")"),"Soy products")</f>
        <v>Soy products</v>
      </c>
    </row>
    <row r="1017" spans="1:9" ht="13" x14ac:dyDescent="0.15">
      <c r="A1017" s="2" t="s">
        <v>1009</v>
      </c>
      <c r="B1017" s="2" t="s">
        <v>1018</v>
      </c>
      <c r="C1017" s="2" t="s">
        <v>1026</v>
      </c>
      <c r="D1017" s="3">
        <v>482021</v>
      </c>
      <c r="E1017" s="3">
        <v>126867</v>
      </c>
      <c r="F1017" s="3">
        <v>814</v>
      </c>
      <c r="G1017" s="3" t="s">
        <v>1012</v>
      </c>
      <c r="H1017" s="3" t="str">
        <f ca="1">IFERROR(__xludf.DUMMYFUNCTION("GOOGLETRANSLATE(B1017,""auto"",""en"")"),"Pecan / nuts / roasted")</f>
        <v>Pecan / nuts / roasted</v>
      </c>
      <c r="I1017" s="3" t="str">
        <f ca="1">IFERROR(__xludf.DUMMYFUNCTION("GOOGLETRANSLATE(C1017,""auto"",""en"")"),"Seaweed")</f>
        <v>Seaweed</v>
      </c>
    </row>
    <row r="1018" spans="1:9" ht="13" x14ac:dyDescent="0.15">
      <c r="A1018" s="2" t="s">
        <v>1009</v>
      </c>
      <c r="B1018" s="2" t="s">
        <v>1018</v>
      </c>
      <c r="C1018" s="2" t="s">
        <v>1027</v>
      </c>
      <c r="D1018" s="3">
        <v>482021</v>
      </c>
      <c r="E1018" s="3">
        <v>126867</v>
      </c>
      <c r="F1018" s="3">
        <v>696</v>
      </c>
      <c r="G1018" s="3" t="s">
        <v>1012</v>
      </c>
      <c r="H1018" s="3" t="str">
        <f ca="1">IFERROR(__xludf.DUMMYFUNCTION("GOOGLETRANSLATE(B1018,""auto"",""en"")"),"Pecan / nuts / roasted")</f>
        <v>Pecan / nuts / roasted</v>
      </c>
      <c r="I1018" s="3" t="str">
        <f ca="1">IFERROR(__xludf.DUMMYFUNCTION("GOOGLETRANSLATE(C1018,""auto"",""en"")"),"walnut")</f>
        <v>walnut</v>
      </c>
    </row>
    <row r="1019" spans="1:9" ht="13" x14ac:dyDescent="0.15">
      <c r="A1019" s="2" t="s">
        <v>1009</v>
      </c>
      <c r="B1019" s="2" t="s">
        <v>1018</v>
      </c>
      <c r="C1019" s="2" t="s">
        <v>1028</v>
      </c>
      <c r="D1019" s="3">
        <v>482021</v>
      </c>
      <c r="E1019" s="3">
        <v>126867</v>
      </c>
      <c r="F1019" s="3">
        <v>640</v>
      </c>
      <c r="G1019" s="3" t="s">
        <v>1012</v>
      </c>
      <c r="H1019" s="3" t="str">
        <f ca="1">IFERROR(__xludf.DUMMYFUNCTION("GOOGLETRANSLATE(B1019,""auto"",""en"")"),"Pecan / nuts / roasted")</f>
        <v>Pecan / nuts / roasted</v>
      </c>
      <c r="I1019" s="3" t="str">
        <f ca="1">IFERROR(__xludf.DUMMYFUNCTION("GOOGLETRANSLATE(C1019,""auto"",""en"")"),"Potato chips")</f>
        <v>Potato chips</v>
      </c>
    </row>
    <row r="1020" spans="1:9" ht="13" x14ac:dyDescent="0.15">
      <c r="A1020" s="2" t="s">
        <v>1009</v>
      </c>
      <c r="B1020" s="2" t="s">
        <v>1018</v>
      </c>
      <c r="C1020" s="2" t="s">
        <v>1029</v>
      </c>
      <c r="D1020" s="3">
        <v>482021</v>
      </c>
      <c r="E1020" s="3">
        <v>126867</v>
      </c>
      <c r="F1020" s="3">
        <v>593</v>
      </c>
      <c r="G1020" s="3" t="s">
        <v>1012</v>
      </c>
      <c r="H1020" s="3" t="str">
        <f ca="1">IFERROR(__xludf.DUMMYFUNCTION("GOOGLETRANSLATE(B1020,""auto"",""en"")"),"Pecan / nuts / roasted")</f>
        <v>Pecan / nuts / roasted</v>
      </c>
      <c r="I1020" s="3" t="str">
        <f ca="1">IFERROR(__xludf.DUMMYFUNCTION("GOOGLETRANSLATE(C1020,""auto"",""en"")"),"Meter stick")</f>
        <v>Meter stick</v>
      </c>
    </row>
    <row r="1021" spans="1:9" ht="13" x14ac:dyDescent="0.15">
      <c r="A1021" s="2" t="s">
        <v>1009</v>
      </c>
      <c r="B1021" s="2" t="s">
        <v>1018</v>
      </c>
      <c r="C1021" s="2" t="s">
        <v>1030</v>
      </c>
      <c r="D1021" s="3">
        <v>482021</v>
      </c>
      <c r="E1021" s="3">
        <v>126867</v>
      </c>
      <c r="F1021" s="3">
        <v>360</v>
      </c>
      <c r="G1021" s="3" t="s">
        <v>1012</v>
      </c>
      <c r="H1021" s="3" t="str">
        <f ca="1">IFERROR(__xludf.DUMMYFUNCTION("GOOGLETRANSLATE(B1021,""auto"",""en"")"),"Pecan / nuts / roasted")</f>
        <v>Pecan / nuts / roasted</v>
      </c>
      <c r="I1021" s="3" t="str">
        <f ca="1">IFERROR(__xludf.DUMMYFUNCTION("GOOGLETRANSLATE(C1021,""auto"",""en"")"),"Simply face")</f>
        <v>Simply face</v>
      </c>
    </row>
    <row r="1022" spans="1:9" ht="13" x14ac:dyDescent="0.15">
      <c r="A1022" s="2" t="s">
        <v>1009</v>
      </c>
      <c r="B1022" s="2" t="s">
        <v>1018</v>
      </c>
      <c r="C1022" s="2" t="s">
        <v>1031</v>
      </c>
      <c r="D1022" s="3">
        <v>482021</v>
      </c>
      <c r="E1022" s="3">
        <v>126867</v>
      </c>
      <c r="F1022" s="3">
        <v>342</v>
      </c>
      <c r="G1022" s="3" t="s">
        <v>1012</v>
      </c>
      <c r="H1022" s="3" t="str">
        <f ca="1">IFERROR(__xludf.DUMMYFUNCTION("GOOGLETRANSLATE(B1022,""auto"",""en"")"),"Pecan / nuts / roasted")</f>
        <v>Pecan / nuts / roasted</v>
      </c>
      <c r="I1022" s="3" t="str">
        <f ca="1">IFERROR(__xludf.DUMMYFUNCTION("GOOGLETRANSLATE(C1022,""auto"",""en"")"),"Pecans")</f>
        <v>Pecans</v>
      </c>
    </row>
    <row r="1023" spans="1:9" ht="13" x14ac:dyDescent="0.15">
      <c r="A1023" s="2" t="s">
        <v>1009</v>
      </c>
      <c r="B1023" s="2" t="s">
        <v>1018</v>
      </c>
      <c r="C1023" s="2" t="s">
        <v>1032</v>
      </c>
      <c r="D1023" s="3">
        <v>482021</v>
      </c>
      <c r="E1023" s="3">
        <v>126867</v>
      </c>
      <c r="F1023" s="3">
        <v>284</v>
      </c>
      <c r="G1023" s="3" t="s">
        <v>1012</v>
      </c>
      <c r="H1023" s="3" t="str">
        <f ca="1">IFERROR(__xludf.DUMMYFUNCTION("GOOGLETRANSLATE(B1023,""auto"",""en"")"),"Pecan / nuts / roasted")</f>
        <v>Pecan / nuts / roasted</v>
      </c>
      <c r="I1023" s="3" t="str">
        <f ca="1">IFERROR(__xludf.DUMMYFUNCTION("GOOGLETRANSLATE(C1023,""auto"",""en"")"),"chestnut")</f>
        <v>chestnut</v>
      </c>
    </row>
    <row r="1024" spans="1:9" ht="13" x14ac:dyDescent="0.15">
      <c r="A1024" s="2" t="s">
        <v>1009</v>
      </c>
      <c r="B1024" s="2" t="s">
        <v>1018</v>
      </c>
      <c r="C1024" s="2" t="s">
        <v>1033</v>
      </c>
      <c r="D1024" s="3">
        <v>482021</v>
      </c>
      <c r="E1024" s="3">
        <v>126867</v>
      </c>
      <c r="F1024" s="3">
        <v>248</v>
      </c>
      <c r="G1024" s="3" t="s">
        <v>1012</v>
      </c>
      <c r="H1024" s="3" t="str">
        <f ca="1">IFERROR(__xludf.DUMMYFUNCTION("GOOGLETRANSLATE(B1024,""auto"",""en"")"),"Pecan / nuts / roasted")</f>
        <v>Pecan / nuts / roasted</v>
      </c>
      <c r="I1024" s="3" t="str">
        <f ca="1">IFERROR(__xludf.DUMMYFUNCTION("GOOGLETRANSLATE(C1024,""auto"",""en"")"),"Walnut")</f>
        <v>Walnut</v>
      </c>
    </row>
    <row r="1025" spans="1:9" ht="13" x14ac:dyDescent="0.15">
      <c r="A1025" s="2" t="s">
        <v>1009</v>
      </c>
      <c r="B1025" s="2" t="s">
        <v>1018</v>
      </c>
      <c r="C1025" s="2" t="s">
        <v>1034</v>
      </c>
      <c r="D1025" s="3">
        <v>482021</v>
      </c>
      <c r="E1025" s="3">
        <v>126867</v>
      </c>
      <c r="F1025" s="3">
        <v>245</v>
      </c>
      <c r="G1025" s="3" t="s">
        <v>1012</v>
      </c>
      <c r="H1025" s="3" t="str">
        <f ca="1">IFERROR(__xludf.DUMMYFUNCTION("GOOGLETRANSLATE(B1025,""auto"",""en"")"),"Pecan / nuts / roasted")</f>
        <v>Pecan / nuts / roasted</v>
      </c>
      <c r="I1025" s="3" t="str">
        <f ca="1">IFERROR(__xludf.DUMMYFUNCTION("GOOGLETRANSLATE(C1025,""auto"",""en"")"),"Cashew")</f>
        <v>Cashew</v>
      </c>
    </row>
    <row r="1026" spans="1:9" ht="13" x14ac:dyDescent="0.15">
      <c r="A1026" s="2" t="s">
        <v>1009</v>
      </c>
      <c r="B1026" s="2" t="s">
        <v>1018</v>
      </c>
      <c r="C1026" s="2" t="s">
        <v>1035</v>
      </c>
      <c r="D1026" s="3">
        <v>482021</v>
      </c>
      <c r="E1026" s="3">
        <v>126867</v>
      </c>
      <c r="F1026" s="3">
        <v>233</v>
      </c>
      <c r="G1026" s="3" t="s">
        <v>1012</v>
      </c>
      <c r="H1026" s="3" t="str">
        <f ca="1">IFERROR(__xludf.DUMMYFUNCTION("GOOGLETRANSLATE(B1026,""auto"",""en"")"),"Pecan / nuts / roasted")</f>
        <v>Pecan / nuts / roasted</v>
      </c>
      <c r="I1026" s="3" t="str">
        <f ca="1">IFERROR(__xludf.DUMMYFUNCTION("GOOGLETRANSLATE(C1026,""auto"",""en"")"),"Pine nuts")</f>
        <v>Pine nuts</v>
      </c>
    </row>
    <row r="1027" spans="1:9" ht="13" x14ac:dyDescent="0.15">
      <c r="A1027" s="2" t="s">
        <v>1009</v>
      </c>
      <c r="B1027" s="2" t="s">
        <v>1018</v>
      </c>
      <c r="C1027" s="2" t="s">
        <v>1036</v>
      </c>
      <c r="D1027" s="3">
        <v>482021</v>
      </c>
      <c r="E1027" s="3">
        <v>126867</v>
      </c>
      <c r="F1027" s="3">
        <v>205</v>
      </c>
      <c r="G1027" s="3" t="s">
        <v>1012</v>
      </c>
      <c r="H1027" s="3" t="str">
        <f ca="1">IFERROR(__xludf.DUMMYFUNCTION("GOOGLETRANSLATE(B1027,""auto"",""en"")"),"Pecan / nuts / roasted")</f>
        <v>Pecan / nuts / roasted</v>
      </c>
      <c r="I1027" s="3" t="str">
        <f ca="1">IFERROR(__xludf.DUMMYFUNCTION("GOOGLETRANSLATE(C1027,""auto"",""en"")"),"pistachio")</f>
        <v>pistachio</v>
      </c>
    </row>
    <row r="1028" spans="1:9" ht="13" x14ac:dyDescent="0.15">
      <c r="A1028" s="2" t="s">
        <v>1009</v>
      </c>
      <c r="B1028" s="2" t="s">
        <v>1018</v>
      </c>
      <c r="C1028" s="2" t="s">
        <v>1037</v>
      </c>
      <c r="D1028" s="3">
        <v>482021</v>
      </c>
      <c r="E1028" s="3">
        <v>126867</v>
      </c>
      <c r="F1028" s="3">
        <v>146</v>
      </c>
      <c r="G1028" s="3" t="s">
        <v>1012</v>
      </c>
      <c r="H1028" s="3" t="str">
        <f ca="1">IFERROR(__xludf.DUMMYFUNCTION("GOOGLETRANSLATE(B1028,""auto"",""en"")"),"Pecan / nuts / roasted")</f>
        <v>Pecan / nuts / roasted</v>
      </c>
      <c r="I1028" s="3" t="str">
        <f ca="1">IFERROR(__xludf.DUMMYFUNCTION("GOOGLETRANSLATE(C1028,""auto"",""en"")"),"French fries")</f>
        <v>French fries</v>
      </c>
    </row>
    <row r="1029" spans="1:9" ht="13" x14ac:dyDescent="0.15">
      <c r="A1029" s="2" t="s">
        <v>1009</v>
      </c>
      <c r="B1029" s="2" t="s">
        <v>1018</v>
      </c>
      <c r="C1029" s="2" t="s">
        <v>1038</v>
      </c>
      <c r="D1029" s="3">
        <v>482021</v>
      </c>
      <c r="E1029" s="3">
        <v>126867</v>
      </c>
      <c r="F1029" s="3">
        <v>134</v>
      </c>
      <c r="G1029" s="3" t="s">
        <v>1012</v>
      </c>
      <c r="H1029" s="3" t="str">
        <f ca="1">IFERROR(__xludf.DUMMYFUNCTION("GOOGLETRANSLATE(B1029,""auto"",""en"")"),"Pecan / nuts / roasted")</f>
        <v>Pecan / nuts / roasted</v>
      </c>
      <c r="I1029" s="3" t="str">
        <f ca="1">IFERROR(__xludf.DUMMYFUNCTION("GOOGLETRANSLATE(C1029,""auto"",""en"")"),"Popcorn")</f>
        <v>Popcorn</v>
      </c>
    </row>
    <row r="1030" spans="1:9" ht="13" x14ac:dyDescent="0.15">
      <c r="A1030" s="2" t="s">
        <v>1009</v>
      </c>
      <c r="B1030" s="2" t="s">
        <v>1018</v>
      </c>
      <c r="C1030" s="2" t="s">
        <v>1039</v>
      </c>
      <c r="D1030" s="3">
        <v>482021</v>
      </c>
      <c r="E1030" s="3">
        <v>126867</v>
      </c>
      <c r="F1030" s="3">
        <v>101</v>
      </c>
      <c r="G1030" s="3" t="s">
        <v>1012</v>
      </c>
      <c r="H1030" s="3" t="str">
        <f ca="1">IFERROR(__xludf.DUMMYFUNCTION("GOOGLETRANSLATE(B1030,""auto"",""en"")"),"Pecan / nuts / roasted")</f>
        <v>Pecan / nuts / roasted</v>
      </c>
      <c r="I1030" s="3" t="str">
        <f ca="1">IFERROR(__xludf.DUMMYFUNCTION("GOOGLETRANSLATE(C1030,""auto"",""en"")"),"almond")</f>
        <v>almond</v>
      </c>
    </row>
    <row r="1031" spans="1:9" ht="13" x14ac:dyDescent="0.15">
      <c r="A1031" s="2" t="s">
        <v>1009</v>
      </c>
      <c r="B1031" s="2" t="s">
        <v>1018</v>
      </c>
      <c r="C1031" s="2" t="s">
        <v>1040</v>
      </c>
      <c r="D1031" s="3">
        <v>482021</v>
      </c>
      <c r="E1031" s="3">
        <v>126867</v>
      </c>
      <c r="F1031" s="3">
        <v>49</v>
      </c>
      <c r="G1031" s="3" t="s">
        <v>1012</v>
      </c>
      <c r="H1031" s="3" t="str">
        <f ca="1">IFERROR(__xludf.DUMMYFUNCTION("GOOGLETRANSLATE(B1031,""auto"",""en"")"),"Pecan / nuts / roasted")</f>
        <v>Pecan / nuts / roasted</v>
      </c>
      <c r="I1031" s="3" t="str">
        <f ca="1">IFERROR(__xludf.DUMMYFUNCTION("GOOGLETRANSLATE(C1031,""auto"",""en"")"),"Hickory")</f>
        <v>Hickory</v>
      </c>
    </row>
    <row r="1032" spans="1:9" ht="13" x14ac:dyDescent="0.15">
      <c r="A1032" s="2" t="s">
        <v>1009</v>
      </c>
      <c r="B1032" s="2" t="s">
        <v>1018</v>
      </c>
      <c r="C1032" s="2" t="s">
        <v>1041</v>
      </c>
      <c r="D1032" s="3">
        <v>482021</v>
      </c>
      <c r="E1032" s="3">
        <v>126867</v>
      </c>
      <c r="F1032" s="3">
        <v>24</v>
      </c>
      <c r="G1032" s="3" t="s">
        <v>1012</v>
      </c>
      <c r="H1032" s="3" t="str">
        <f ca="1">IFERROR(__xludf.DUMMYFUNCTION("GOOGLETRANSLATE(B1032,""auto"",""en"")"),"Pecan / nuts / roasted")</f>
        <v>Pecan / nuts / roasted</v>
      </c>
      <c r="I1032" s="3" t="str">
        <f ca="1">IFERROR(__xludf.DUMMYFUNCTION("GOOGLETRANSLATE(C1032,""auto"",""en"")"),"Donuts")</f>
        <v>Donuts</v>
      </c>
    </row>
    <row r="1033" spans="1:9" ht="13" x14ac:dyDescent="0.15">
      <c r="A1033" s="2" t="s">
        <v>1009</v>
      </c>
      <c r="B1033" s="2" t="s">
        <v>1018</v>
      </c>
      <c r="C1033" s="2" t="s">
        <v>1042</v>
      </c>
      <c r="D1033" s="3">
        <v>482021</v>
      </c>
      <c r="E1033" s="3">
        <v>126867</v>
      </c>
      <c r="F1033" s="3">
        <v>15</v>
      </c>
      <c r="G1033" s="3" t="s">
        <v>1012</v>
      </c>
      <c r="H1033" s="3" t="str">
        <f ca="1">IFERROR(__xludf.DUMMYFUNCTION("GOOGLETRANSLATE(B1033,""auto"",""en"")"),"Pecan / nuts / roasted")</f>
        <v>Pecan / nuts / roasted</v>
      </c>
      <c r="I1033" s="3" t="str">
        <f ca="1">IFERROR(__xludf.DUMMYFUNCTION("GOOGLETRANSLATE(C1033,""auto"",""en"")"),"Small ginkgo")</f>
        <v>Small ginkgo</v>
      </c>
    </row>
    <row r="1034" spans="1:9" ht="13" x14ac:dyDescent="0.15">
      <c r="A1034" s="2" t="s">
        <v>1009</v>
      </c>
      <c r="B1034" s="2" t="s">
        <v>1018</v>
      </c>
      <c r="C1034" s="2" t="s">
        <v>1043</v>
      </c>
      <c r="D1034" s="3">
        <v>482021</v>
      </c>
      <c r="E1034" s="3">
        <v>126867</v>
      </c>
      <c r="F1034" s="3">
        <v>6</v>
      </c>
      <c r="G1034" s="3" t="s">
        <v>1012</v>
      </c>
      <c r="H1034" s="3" t="str">
        <f ca="1">IFERROR(__xludf.DUMMYFUNCTION("GOOGLETRANSLATE(B1034,""auto"",""en"")"),"Pecan / nuts / roasted")</f>
        <v>Pecan / nuts / roasted</v>
      </c>
      <c r="I1034" s="3" t="str">
        <f ca="1">IFERROR(__xludf.DUMMYFUNCTION("GOOGLETRANSLATE(C1034,""auto"",""en"")"),"hazelnut")</f>
        <v>hazelnut</v>
      </c>
    </row>
    <row r="1035" spans="1:9" ht="13" x14ac:dyDescent="0.15">
      <c r="A1035" s="2" t="s">
        <v>1009</v>
      </c>
      <c r="B1035" s="2" t="s">
        <v>1018</v>
      </c>
      <c r="C1035" s="2" t="s">
        <v>1044</v>
      </c>
      <c r="D1035" s="3">
        <v>482021</v>
      </c>
      <c r="E1035" s="3">
        <v>126867</v>
      </c>
      <c r="F1035" s="3">
        <v>1</v>
      </c>
      <c r="G1035" s="3" t="s">
        <v>1012</v>
      </c>
      <c r="H1035" s="3" t="str">
        <f ca="1">IFERROR(__xludf.DUMMYFUNCTION("GOOGLETRANSLATE(B1035,""auto"",""en"")"),"Pecan / nuts / roasted")</f>
        <v>Pecan / nuts / roasted</v>
      </c>
      <c r="I1035" s="3" t="str">
        <f ca="1">IFERROR(__xludf.DUMMYFUNCTION("GOOGLETRANSLATE(C1035,""auto"",""en"")"),"Torreya")</f>
        <v>Torreya</v>
      </c>
    </row>
    <row r="1036" spans="1:9" ht="13" x14ac:dyDescent="0.15">
      <c r="A1036" s="2" t="s">
        <v>1009</v>
      </c>
      <c r="B1036" s="2" t="s">
        <v>1045</v>
      </c>
      <c r="C1036" s="2" t="s">
        <v>1046</v>
      </c>
      <c r="D1036" s="3">
        <v>482021</v>
      </c>
      <c r="E1036" s="3">
        <v>43695</v>
      </c>
      <c r="F1036" s="3">
        <v>13232</v>
      </c>
      <c r="G1036" s="3" t="s">
        <v>1012</v>
      </c>
      <c r="H1036" s="3" t="str">
        <f ca="1">IFERROR(__xludf.DUMMYFUNCTION("GOOGLETRANSLATE(B1036,""auto"",""en"")"),"Biscuits cakes")</f>
        <v>Biscuits cakes</v>
      </c>
      <c r="I1036" s="3" t="str">
        <f ca="1">IFERROR(__xludf.DUMMYFUNCTION("GOOGLETRANSLATE(C1036,""auto"",""en"")"),"Biscuit")</f>
        <v>Biscuit</v>
      </c>
    </row>
    <row r="1037" spans="1:9" ht="13" x14ac:dyDescent="0.15">
      <c r="A1037" s="2" t="s">
        <v>1009</v>
      </c>
      <c r="B1037" s="2" t="s">
        <v>1045</v>
      </c>
      <c r="C1037" s="2" t="s">
        <v>1047</v>
      </c>
      <c r="D1037" s="3">
        <v>482021</v>
      </c>
      <c r="E1037" s="3">
        <v>43695</v>
      </c>
      <c r="F1037" s="3">
        <v>7400</v>
      </c>
      <c r="G1037" s="3" t="s">
        <v>1012</v>
      </c>
      <c r="H1037" s="3" t="str">
        <f ca="1">IFERROR(__xludf.DUMMYFUNCTION("GOOGLETRANSLATE(B1037,""auto"",""en"")"),"Biscuits cakes")</f>
        <v>Biscuits cakes</v>
      </c>
      <c r="I1037" s="3" t="str">
        <f ca="1">IFERROR(__xludf.DUMMYFUNCTION("GOOGLETRANSLATE(C1037,""auto"",""en"")"),"Western-style cakes")</f>
        <v>Western-style cakes</v>
      </c>
    </row>
    <row r="1038" spans="1:9" ht="13" x14ac:dyDescent="0.15">
      <c r="A1038" s="2" t="s">
        <v>1009</v>
      </c>
      <c r="B1038" s="2" t="s">
        <v>1045</v>
      </c>
      <c r="C1038" s="2" t="s">
        <v>1048</v>
      </c>
      <c r="D1038" s="3">
        <v>482021</v>
      </c>
      <c r="E1038" s="3">
        <v>43695</v>
      </c>
      <c r="F1038" s="3">
        <v>6804</v>
      </c>
      <c r="G1038" s="3" t="s">
        <v>1012</v>
      </c>
      <c r="H1038" s="3" t="str">
        <f ca="1">IFERROR(__xludf.DUMMYFUNCTION("GOOGLETRANSLATE(B1038,""auto"",""en"")"),"Biscuits cakes")</f>
        <v>Biscuits cakes</v>
      </c>
      <c r="I1038" s="3" t="str">
        <f ca="1">IFERROR(__xludf.DUMMYFUNCTION("GOOGLETRANSLATE(C1038,""auto"",""en"")"),"Traditional cakes")</f>
        <v>Traditional cakes</v>
      </c>
    </row>
    <row r="1039" spans="1:9" ht="13" x14ac:dyDescent="0.15">
      <c r="A1039" s="2" t="s">
        <v>1009</v>
      </c>
      <c r="B1039" s="2" t="s">
        <v>1045</v>
      </c>
      <c r="C1039" s="2" t="s">
        <v>1049</v>
      </c>
      <c r="D1039" s="3">
        <v>482021</v>
      </c>
      <c r="E1039" s="3">
        <v>43695</v>
      </c>
      <c r="F1039" s="3">
        <v>4137</v>
      </c>
      <c r="G1039" s="3" t="s">
        <v>1012</v>
      </c>
      <c r="H1039" s="3" t="str">
        <f ca="1">IFERROR(__xludf.DUMMYFUNCTION("GOOGLETRANSLATE(B1039,""auto"",""en"")"),"Biscuits cakes")</f>
        <v>Biscuits cakes</v>
      </c>
      <c r="I1039" s="3" t="str">
        <f ca="1">IFERROR(__xludf.DUMMYFUNCTION("GOOGLETRANSLATE(C1039,""auto"",""en"")"),"bread")</f>
        <v>bread</v>
      </c>
    </row>
    <row r="1040" spans="1:9" ht="13" x14ac:dyDescent="0.15">
      <c r="A1040" s="2" t="s">
        <v>1009</v>
      </c>
      <c r="B1040" s="2" t="s">
        <v>1045</v>
      </c>
      <c r="C1040" s="2" t="s">
        <v>1050</v>
      </c>
      <c r="D1040" s="3">
        <v>482021</v>
      </c>
      <c r="E1040" s="3">
        <v>43695</v>
      </c>
      <c r="F1040" s="3">
        <v>3616</v>
      </c>
      <c r="G1040" s="3" t="s">
        <v>1012</v>
      </c>
      <c r="H1040" s="3" t="str">
        <f ca="1">IFERROR(__xludf.DUMMYFUNCTION("GOOGLETRANSLATE(B1040,""auto"",""en"")"),"Biscuits cakes")</f>
        <v>Biscuits cakes</v>
      </c>
      <c r="I1040" s="3" t="str">
        <f ca="1">IFERROR(__xludf.DUMMYFUNCTION("GOOGLETRANSLATE(C1040,""auto"",""en"")"),"waffle")</f>
        <v>waffle</v>
      </c>
    </row>
    <row r="1041" spans="1:9" ht="13" x14ac:dyDescent="0.15">
      <c r="A1041" s="2" t="s">
        <v>1009</v>
      </c>
      <c r="B1041" s="2" t="s">
        <v>1045</v>
      </c>
      <c r="C1041" s="2" t="s">
        <v>92</v>
      </c>
      <c r="D1041" s="3">
        <v>482021</v>
      </c>
      <c r="E1041" s="3">
        <v>43695</v>
      </c>
      <c r="F1041" s="3">
        <v>3433</v>
      </c>
      <c r="G1041" s="3" t="s">
        <v>1012</v>
      </c>
      <c r="H1041" s="3" t="str">
        <f ca="1">IFERROR(__xludf.DUMMYFUNCTION("GOOGLETRANSLATE(B1041,""auto"",""en"")"),"Biscuits cakes")</f>
        <v>Biscuits cakes</v>
      </c>
      <c r="I1041" s="3" t="str">
        <f ca="1">IFERROR(__xludf.DUMMYFUNCTION("GOOGLETRANSLATE(C1041,""auto"",""en"")"),"other")</f>
        <v>other</v>
      </c>
    </row>
    <row r="1042" spans="1:9" ht="13" x14ac:dyDescent="0.15">
      <c r="A1042" s="2" t="s">
        <v>1009</v>
      </c>
      <c r="B1042" s="2" t="s">
        <v>1045</v>
      </c>
      <c r="C1042" s="2" t="s">
        <v>1051</v>
      </c>
      <c r="D1042" s="3">
        <v>482021</v>
      </c>
      <c r="E1042" s="3">
        <v>43695</v>
      </c>
      <c r="F1042" s="3">
        <v>2359</v>
      </c>
      <c r="G1042" s="3" t="s">
        <v>1012</v>
      </c>
      <c r="H1042" s="3" t="str">
        <f ca="1">IFERROR(__xludf.DUMMYFUNCTION("GOOGLETRANSLATE(B1042,""auto"",""en"")"),"Biscuits cakes")</f>
        <v>Biscuits cakes</v>
      </c>
      <c r="I1042" s="3" t="str">
        <f ca="1">IFERROR(__xludf.DUMMYFUNCTION("GOOGLETRANSLATE(C1042,""auto"",""en"")"),"Cookies")</f>
        <v>Cookies</v>
      </c>
    </row>
    <row r="1043" spans="1:9" ht="13" x14ac:dyDescent="0.15">
      <c r="A1043" s="2" t="s">
        <v>1009</v>
      </c>
      <c r="B1043" s="2" t="s">
        <v>1045</v>
      </c>
      <c r="C1043" s="2" t="s">
        <v>1052</v>
      </c>
      <c r="D1043" s="3">
        <v>482021</v>
      </c>
      <c r="E1043" s="3">
        <v>43695</v>
      </c>
      <c r="F1043" s="3">
        <v>1039</v>
      </c>
      <c r="G1043" s="3" t="s">
        <v>1012</v>
      </c>
      <c r="H1043" s="3" t="str">
        <f ca="1">IFERROR(__xludf.DUMMYFUNCTION("GOOGLETRANSLATE(B1043,""auto"",""en"")"),"Biscuits cakes")</f>
        <v>Biscuits cakes</v>
      </c>
      <c r="I1043" s="3" t="str">
        <f ca="1">IFERROR(__xludf.DUMMYFUNCTION("GOOGLETRANSLATE(C1043,""auto"",""en"")"),"Macaron")</f>
        <v>Macaron</v>
      </c>
    </row>
    <row r="1044" spans="1:9" ht="13" x14ac:dyDescent="0.15">
      <c r="A1044" s="2" t="s">
        <v>1009</v>
      </c>
      <c r="B1044" s="2" t="s">
        <v>1045</v>
      </c>
      <c r="C1044" s="2" t="s">
        <v>1053</v>
      </c>
      <c r="D1044" s="3">
        <v>482021</v>
      </c>
      <c r="E1044" s="3">
        <v>43695</v>
      </c>
      <c r="F1044" s="3">
        <v>504</v>
      </c>
      <c r="G1044" s="3" t="s">
        <v>1012</v>
      </c>
      <c r="H1044" s="3" t="str">
        <f ca="1">IFERROR(__xludf.DUMMYFUNCTION("GOOGLETRANSLATE(B1044,""auto"",""en"")"),"Biscuits cakes")</f>
        <v>Biscuits cakes</v>
      </c>
      <c r="I1044" s="3" t="str">
        <f ca="1">IFERROR(__xludf.DUMMYFUNCTION("GOOGLETRANSLATE(C1044,""auto"",""en"")"),"Biscuit")</f>
        <v>Biscuit</v>
      </c>
    </row>
    <row r="1045" spans="1:9" ht="13" x14ac:dyDescent="0.15">
      <c r="A1045" s="2" t="s">
        <v>1009</v>
      </c>
      <c r="B1045" s="2" t="s">
        <v>1045</v>
      </c>
      <c r="C1045" s="2" t="s">
        <v>1054</v>
      </c>
      <c r="D1045" s="3">
        <v>482021</v>
      </c>
      <c r="E1045" s="3">
        <v>43695</v>
      </c>
      <c r="F1045" s="3">
        <v>307</v>
      </c>
      <c r="G1045" s="3" t="s">
        <v>1012</v>
      </c>
      <c r="H1045" s="3" t="str">
        <f ca="1">IFERROR(__xludf.DUMMYFUNCTION("GOOGLETRANSLATE(B1045,""auto"",""en"")"),"Biscuits cakes")</f>
        <v>Biscuits cakes</v>
      </c>
      <c r="I1045" s="3" t="str">
        <f ca="1">IFERROR(__xludf.DUMMYFUNCTION("GOOGLETRANSLATE(C1045,""auto"",""en"")"),"meat pie")</f>
        <v>meat pie</v>
      </c>
    </row>
    <row r="1046" spans="1:9" ht="13" x14ac:dyDescent="0.15">
      <c r="A1046" s="2" t="s">
        <v>1009</v>
      </c>
      <c r="B1046" s="2" t="s">
        <v>1045</v>
      </c>
      <c r="C1046" s="2" t="s">
        <v>1055</v>
      </c>
      <c r="D1046" s="3">
        <v>482021</v>
      </c>
      <c r="E1046" s="3">
        <v>43695</v>
      </c>
      <c r="F1046" s="3">
        <v>276</v>
      </c>
      <c r="G1046" s="3" t="s">
        <v>1012</v>
      </c>
      <c r="H1046" s="3" t="str">
        <f ca="1">IFERROR(__xludf.DUMMYFUNCTION("GOOGLETRANSLATE(B1046,""auto"",""en"")"),"Biscuits cakes")</f>
        <v>Biscuits cakes</v>
      </c>
      <c r="I1046" s="3" t="str">
        <f ca="1">IFERROR(__xludf.DUMMYFUNCTION("GOOGLETRANSLATE(C1046,""auto"",""en"")"),"Egg rolls")</f>
        <v>Egg rolls</v>
      </c>
    </row>
    <row r="1047" spans="1:9" ht="13" x14ac:dyDescent="0.15">
      <c r="A1047" s="2" t="s">
        <v>1009</v>
      </c>
      <c r="B1047" s="2" t="s">
        <v>1045</v>
      </c>
      <c r="C1047" s="2" t="s">
        <v>1056</v>
      </c>
      <c r="D1047" s="3">
        <v>482021</v>
      </c>
      <c r="E1047" s="3">
        <v>43695</v>
      </c>
      <c r="F1047" s="3">
        <v>219</v>
      </c>
      <c r="G1047" s="3" t="s">
        <v>1012</v>
      </c>
      <c r="H1047" s="3" t="str">
        <f ca="1">IFERROR(__xludf.DUMMYFUNCTION("GOOGLETRANSLATE(B1047,""auto"",""en"")"),"Biscuits cakes")</f>
        <v>Biscuits cakes</v>
      </c>
      <c r="I1047" s="3" t="str">
        <f ca="1">IFERROR(__xludf.DUMMYFUNCTION("GOOGLETRANSLATE(C1047,""auto"",""en"")"),"Biscuit")</f>
        <v>Biscuit</v>
      </c>
    </row>
    <row r="1048" spans="1:9" ht="13" x14ac:dyDescent="0.15">
      <c r="A1048" s="2" t="s">
        <v>1009</v>
      </c>
      <c r="B1048" s="2" t="s">
        <v>1045</v>
      </c>
      <c r="C1048" s="2" t="s">
        <v>1057</v>
      </c>
      <c r="D1048" s="3">
        <v>482021</v>
      </c>
      <c r="E1048" s="3">
        <v>43695</v>
      </c>
      <c r="F1048" s="3">
        <v>119</v>
      </c>
      <c r="G1048" s="3" t="s">
        <v>1012</v>
      </c>
      <c r="H1048" s="3" t="str">
        <f ca="1">IFERROR(__xludf.DUMMYFUNCTION("GOOGLETRANSLATE(B1048,""auto"",""en"")"),"Biscuits cakes")</f>
        <v>Biscuits cakes</v>
      </c>
      <c r="I1048" s="3" t="str">
        <f ca="1">IFERROR(__xludf.DUMMYFUNCTION("GOOGLETRANSLATE(C1048,""auto"",""en"")"),"Flower Cake")</f>
        <v>Flower Cake</v>
      </c>
    </row>
    <row r="1049" spans="1:9" ht="13" x14ac:dyDescent="0.15">
      <c r="A1049" s="2" t="s">
        <v>1009</v>
      </c>
      <c r="B1049" s="2" t="s">
        <v>1045</v>
      </c>
      <c r="C1049" s="2" t="s">
        <v>1058</v>
      </c>
      <c r="D1049" s="3">
        <v>482021</v>
      </c>
      <c r="E1049" s="3">
        <v>43695</v>
      </c>
      <c r="F1049" s="3">
        <v>102</v>
      </c>
      <c r="G1049" s="3" t="s">
        <v>1012</v>
      </c>
      <c r="H1049" s="3" t="str">
        <f ca="1">IFERROR(__xludf.DUMMYFUNCTION("GOOGLETRANSLATE(B1049,""auto"",""en"")"),"Biscuits cakes")</f>
        <v>Biscuits cakes</v>
      </c>
      <c r="I1049" s="3" t="str">
        <f ca="1">IFERROR(__xludf.DUMMYFUNCTION("GOOGLETRANSLATE(C1049,""auto"",""en"")"),"Shaqima")</f>
        <v>Shaqima</v>
      </c>
    </row>
    <row r="1050" spans="1:9" ht="13" x14ac:dyDescent="0.15">
      <c r="A1050" s="2" t="s">
        <v>1009</v>
      </c>
      <c r="B1050" s="2" t="s">
        <v>1045</v>
      </c>
      <c r="C1050" s="2" t="s">
        <v>1059</v>
      </c>
      <c r="D1050" s="3">
        <v>482021</v>
      </c>
      <c r="E1050" s="3">
        <v>43695</v>
      </c>
      <c r="F1050" s="3">
        <v>72</v>
      </c>
      <c r="G1050" s="3" t="s">
        <v>1012</v>
      </c>
      <c r="H1050" s="3" t="str">
        <f ca="1">IFERROR(__xludf.DUMMYFUNCTION("GOOGLETRANSLATE(B1050,""auto"",""en"")"),"Biscuits cakes")</f>
        <v>Biscuits cakes</v>
      </c>
      <c r="I1050" s="3" t="str">
        <f ca="1">IFERROR(__xludf.DUMMYFUNCTION("GOOGLETRANSLATE(C1050,""auto"",""en"")"),"Soda crackers")</f>
        <v>Soda crackers</v>
      </c>
    </row>
    <row r="1051" spans="1:9" ht="13" x14ac:dyDescent="0.15">
      <c r="A1051" s="2" t="s">
        <v>1009</v>
      </c>
      <c r="B1051" s="2" t="s">
        <v>1045</v>
      </c>
      <c r="C1051" s="2" t="s">
        <v>1060</v>
      </c>
      <c r="D1051" s="3">
        <v>482021</v>
      </c>
      <c r="E1051" s="3">
        <v>43695</v>
      </c>
      <c r="F1051" s="3">
        <v>44</v>
      </c>
      <c r="G1051" s="3" t="s">
        <v>1012</v>
      </c>
      <c r="H1051" s="3" t="str">
        <f ca="1">IFERROR(__xludf.DUMMYFUNCTION("GOOGLETRANSLATE(B1051,""auto"",""en"")"),"Biscuits cakes")</f>
        <v>Biscuits cakes</v>
      </c>
      <c r="I1051" s="3" t="str">
        <f ca="1">IFERROR(__xludf.DUMMYFUNCTION("GOOGLETRANSLATE(C1051,""auto"",""en"")"),"Nutrition (digestion) biscuits")</f>
        <v>Nutrition (digestion) biscuits</v>
      </c>
    </row>
    <row r="1052" spans="1:9" ht="13" x14ac:dyDescent="0.15">
      <c r="A1052" s="2" t="s">
        <v>1009</v>
      </c>
      <c r="B1052" s="2" t="s">
        <v>1045</v>
      </c>
      <c r="C1052" s="2" t="s">
        <v>1061</v>
      </c>
      <c r="D1052" s="3">
        <v>482021</v>
      </c>
      <c r="E1052" s="3">
        <v>43695</v>
      </c>
      <c r="F1052" s="3">
        <v>36</v>
      </c>
      <c r="G1052" s="3" t="s">
        <v>1012</v>
      </c>
      <c r="H1052" s="3" t="str">
        <f ca="1">IFERROR(__xludf.DUMMYFUNCTION("GOOGLETRANSLATE(B1052,""auto"",""en"")"),"Biscuits cakes")</f>
        <v>Biscuits cakes</v>
      </c>
      <c r="I1052" s="3" t="str">
        <f ca="1">IFERROR(__xludf.DUMMYFUNCTION("GOOGLETRANSLATE(C1052,""auto"",""en"")"),"Crackers")</f>
        <v>Crackers</v>
      </c>
    </row>
    <row r="1053" spans="1:9" ht="13" x14ac:dyDescent="0.15">
      <c r="A1053" s="2" t="s">
        <v>1009</v>
      </c>
      <c r="B1053" s="2" t="s">
        <v>1045</v>
      </c>
      <c r="C1053" s="2" t="s">
        <v>1062</v>
      </c>
      <c r="D1053" s="3">
        <v>482021</v>
      </c>
      <c r="E1053" s="3">
        <v>43695</v>
      </c>
      <c r="F1053" s="3">
        <v>13</v>
      </c>
      <c r="G1053" s="3" t="s">
        <v>1012</v>
      </c>
      <c r="H1053" s="3" t="str">
        <f ca="1">IFERROR(__xludf.DUMMYFUNCTION("GOOGLETRANSLATE(B1053,""auto"",""en"")"),"Biscuits cakes")</f>
        <v>Biscuits cakes</v>
      </c>
      <c r="I1053" s="3" t="str">
        <f ca="1">IFERROR(__xludf.DUMMYFUNCTION("GOOGLETRANSLATE(C1053,""auto"",""en"")"),"Egg rolls biscuit")</f>
        <v>Egg rolls biscuit</v>
      </c>
    </row>
    <row r="1054" spans="1:9" ht="13" x14ac:dyDescent="0.15">
      <c r="A1054" s="2" t="s">
        <v>1009</v>
      </c>
      <c r="B1054" s="2" t="s">
        <v>1045</v>
      </c>
      <c r="C1054" s="2" t="s">
        <v>1063</v>
      </c>
      <c r="D1054" s="3">
        <v>482021</v>
      </c>
      <c r="E1054" s="3">
        <v>43695</v>
      </c>
      <c r="F1054" s="3">
        <v>7</v>
      </c>
      <c r="G1054" s="3" t="s">
        <v>1012</v>
      </c>
      <c r="H1054" s="3" t="str">
        <f ca="1">IFERROR(__xludf.DUMMYFUNCTION("GOOGLETRANSLATE(B1054,""auto"",""en"")"),"Biscuits cakes")</f>
        <v>Biscuits cakes</v>
      </c>
      <c r="I1054" s="3" t="str">
        <f ca="1">IFERROR(__xludf.DUMMYFUNCTION("GOOGLETRANSLATE(C1054,""auto"",""en"")"),"oatmeal")</f>
        <v>oatmeal</v>
      </c>
    </row>
    <row r="1055" spans="1:9" ht="13" x14ac:dyDescent="0.15">
      <c r="A1055" s="2" t="s">
        <v>1009</v>
      </c>
      <c r="B1055" s="2" t="s">
        <v>1045</v>
      </c>
      <c r="C1055" s="2" t="s">
        <v>1064</v>
      </c>
      <c r="D1055" s="3">
        <v>482021</v>
      </c>
      <c r="E1055" s="3">
        <v>43695</v>
      </c>
      <c r="F1055" s="3">
        <v>6</v>
      </c>
      <c r="G1055" s="3" t="s">
        <v>1012</v>
      </c>
      <c r="H1055" s="3" t="str">
        <f ca="1">IFERROR(__xludf.DUMMYFUNCTION("GOOGLETRANSLATE(B1055,""auto"",""en"")"),"Biscuits cakes")</f>
        <v>Biscuits cakes</v>
      </c>
      <c r="I1055" s="3" t="str">
        <f ca="1">IFERROR(__xludf.DUMMYFUNCTION("GOOGLETRANSLATE(C1055,""auto"",""en"")"),"moon cake")</f>
        <v>moon cake</v>
      </c>
    </row>
    <row r="1056" spans="1:9" ht="13" x14ac:dyDescent="0.15">
      <c r="A1056" s="2" t="s">
        <v>1009</v>
      </c>
      <c r="B1056" s="2" t="s">
        <v>1045</v>
      </c>
      <c r="C1056" s="2" t="s">
        <v>1065</v>
      </c>
      <c r="D1056" s="3">
        <v>482021</v>
      </c>
      <c r="E1056" s="3">
        <v>43695</v>
      </c>
      <c r="F1056" s="3">
        <v>1</v>
      </c>
      <c r="G1056" s="3" t="s">
        <v>1012</v>
      </c>
      <c r="H1056" s="3" t="str">
        <f ca="1">IFERROR(__xludf.DUMMYFUNCTION("GOOGLETRANSLATE(B1056,""auto"",""en"")"),"Biscuits cakes")</f>
        <v>Biscuits cakes</v>
      </c>
      <c r="I1056" s="3" t="str">
        <f ca="1">IFERROR(__xludf.DUMMYFUNCTION("GOOGLETRANSLATE(C1056,""auto"",""en"")"),"Egg biscuit round")</f>
        <v>Egg biscuit round</v>
      </c>
    </row>
    <row r="1057" spans="1:9" ht="13" x14ac:dyDescent="0.15">
      <c r="A1057" s="2" t="s">
        <v>1009</v>
      </c>
      <c r="B1057" s="2" t="s">
        <v>1045</v>
      </c>
      <c r="C1057" s="2" t="s">
        <v>1066</v>
      </c>
      <c r="D1057" s="3">
        <v>482021</v>
      </c>
      <c r="E1057" s="3">
        <v>43695</v>
      </c>
      <c r="F1057" s="3">
        <v>1</v>
      </c>
      <c r="G1057" s="3" t="s">
        <v>1012</v>
      </c>
      <c r="H1057" s="3" t="str">
        <f ca="1">IFERROR(__xludf.DUMMYFUNCTION("GOOGLETRANSLATE(B1057,""auto"",""en"")"),"Biscuits cakes")</f>
        <v>Biscuits cakes</v>
      </c>
      <c r="I1057" s="3" t="str">
        <f ca="1">IFERROR(__xludf.DUMMYFUNCTION("GOOGLETRANSLATE(C1057,""auto"",""en"")"),"Yasubinggan")</f>
        <v>Yasubinggan</v>
      </c>
    </row>
    <row r="1058" spans="1:9" ht="13" x14ac:dyDescent="0.15">
      <c r="A1058" s="2" t="s">
        <v>1009</v>
      </c>
      <c r="B1058" s="2" t="s">
        <v>1067</v>
      </c>
      <c r="C1058" s="2" t="s">
        <v>92</v>
      </c>
      <c r="D1058" s="3">
        <v>482021</v>
      </c>
      <c r="E1058" s="3">
        <v>21677</v>
      </c>
      <c r="F1058" s="3">
        <v>7252</v>
      </c>
      <c r="G1058" s="3" t="s">
        <v>1012</v>
      </c>
      <c r="H1058" s="3" t="str">
        <f ca="1">IFERROR(__xludf.DUMMYFUNCTION("GOOGLETRANSLATE(B1058,""auto"",""en"")"),"Meat / lo snacks")</f>
        <v>Meat / lo snacks</v>
      </c>
      <c r="I1058" s="3" t="str">
        <f ca="1">IFERROR(__xludf.DUMMYFUNCTION("GOOGLETRANSLATE(C1058,""auto"",""en"")"),"other")</f>
        <v>other</v>
      </c>
    </row>
    <row r="1059" spans="1:9" ht="13" x14ac:dyDescent="0.15">
      <c r="A1059" s="2" t="s">
        <v>1009</v>
      </c>
      <c r="B1059" s="2" t="s">
        <v>1067</v>
      </c>
      <c r="C1059" s="2" t="s">
        <v>1068</v>
      </c>
      <c r="D1059" s="3">
        <v>482021</v>
      </c>
      <c r="E1059" s="3">
        <v>21677</v>
      </c>
      <c r="F1059" s="3">
        <v>4870</v>
      </c>
      <c r="G1059" s="3" t="s">
        <v>1012</v>
      </c>
      <c r="H1059" s="3" t="str">
        <f ca="1">IFERROR(__xludf.DUMMYFUNCTION("GOOGLETRANSLATE(B1059,""auto"",""en"")"),"Meat / lo snacks")</f>
        <v>Meat / lo snacks</v>
      </c>
      <c r="I1059" s="3" t="str">
        <f ca="1">IFERROR(__xludf.DUMMYFUNCTION("GOOGLETRANSLATE(C1059,""auto"",""en"")"),"Duck snack")</f>
        <v>Duck snack</v>
      </c>
    </row>
    <row r="1060" spans="1:9" ht="13" x14ac:dyDescent="0.15">
      <c r="A1060" s="2" t="s">
        <v>1009</v>
      </c>
      <c r="B1060" s="2" t="s">
        <v>1067</v>
      </c>
      <c r="C1060" s="2" t="s">
        <v>1069</v>
      </c>
      <c r="D1060" s="3">
        <v>482021</v>
      </c>
      <c r="E1060" s="3">
        <v>21677</v>
      </c>
      <c r="F1060" s="3">
        <v>3242</v>
      </c>
      <c r="G1060" s="3" t="s">
        <v>1012</v>
      </c>
      <c r="H1060" s="3" t="str">
        <f ca="1">IFERROR(__xludf.DUMMYFUNCTION("GOOGLETRANSLATE(B1060,""auto"",""en"")"),"Meat / lo snacks")</f>
        <v>Meat / lo snacks</v>
      </c>
      <c r="I1060" s="3" t="str">
        <f ca="1">IFERROR(__xludf.DUMMYFUNCTION("GOOGLETRANSLATE(C1060,""auto"",""en"")"),"Dried fish")</f>
        <v>Dried fish</v>
      </c>
    </row>
    <row r="1061" spans="1:9" ht="13" x14ac:dyDescent="0.15">
      <c r="A1061" s="2" t="s">
        <v>1009</v>
      </c>
      <c r="B1061" s="2" t="s">
        <v>1067</v>
      </c>
      <c r="C1061" s="2" t="s">
        <v>1070</v>
      </c>
      <c r="D1061" s="3">
        <v>482021</v>
      </c>
      <c r="E1061" s="3">
        <v>21677</v>
      </c>
      <c r="F1061" s="3">
        <v>3122</v>
      </c>
      <c r="G1061" s="3" t="s">
        <v>1012</v>
      </c>
      <c r="H1061" s="3" t="str">
        <f ca="1">IFERROR(__xludf.DUMMYFUNCTION("GOOGLETRANSLATE(B1061,""auto"",""en"")"),"Meat / lo snacks")</f>
        <v>Meat / lo snacks</v>
      </c>
      <c r="I1061" s="3" t="str">
        <f ca="1">IFERROR(__xludf.DUMMYFUNCTION("GOOGLETRANSLATE(C1061,""auto"",""en"")"),"Dougan")</f>
        <v>Dougan</v>
      </c>
    </row>
    <row r="1062" spans="1:9" ht="13" x14ac:dyDescent="0.15">
      <c r="A1062" s="2" t="s">
        <v>1009</v>
      </c>
      <c r="B1062" s="2" t="s">
        <v>1067</v>
      </c>
      <c r="C1062" s="2" t="s">
        <v>1071</v>
      </c>
      <c r="D1062" s="3">
        <v>482021</v>
      </c>
      <c r="E1062" s="3">
        <v>21677</v>
      </c>
      <c r="F1062" s="3">
        <v>1797</v>
      </c>
      <c r="G1062" s="3" t="s">
        <v>1012</v>
      </c>
      <c r="H1062" s="3" t="str">
        <f ca="1">IFERROR(__xludf.DUMMYFUNCTION("GOOGLETRANSLATE(B1062,""auto"",""en"")"),"Meat / lo snacks")</f>
        <v>Meat / lo snacks</v>
      </c>
      <c r="I1062" s="3" t="str">
        <f ca="1">IFERROR(__xludf.DUMMYFUNCTION("GOOGLETRANSLATE(C1062,""auto"",""en"")"),"Other meat snacks")</f>
        <v>Other meat snacks</v>
      </c>
    </row>
    <row r="1063" spans="1:9" ht="13" x14ac:dyDescent="0.15">
      <c r="A1063" s="2" t="s">
        <v>1009</v>
      </c>
      <c r="B1063" s="2" t="s">
        <v>1067</v>
      </c>
      <c r="C1063" s="2" t="s">
        <v>1072</v>
      </c>
      <c r="D1063" s="3">
        <v>482021</v>
      </c>
      <c r="E1063" s="3">
        <v>21677</v>
      </c>
      <c r="F1063" s="3">
        <v>639</v>
      </c>
      <c r="G1063" s="3" t="s">
        <v>1012</v>
      </c>
      <c r="H1063" s="3" t="str">
        <f ca="1">IFERROR(__xludf.DUMMYFUNCTION("GOOGLETRANSLATE(B1063,""auto"",""en"")"),"Meat / lo snacks")</f>
        <v>Meat / lo snacks</v>
      </c>
      <c r="I1063" s="3" t="str">
        <f ca="1">IFERROR(__xludf.DUMMYFUNCTION("GOOGLETRANSLATE(C1063,""auto"",""en"")"),"Dried beef")</f>
        <v>Dried beef</v>
      </c>
    </row>
    <row r="1064" spans="1:9" ht="13" x14ac:dyDescent="0.15">
      <c r="A1064" s="2" t="s">
        <v>1009</v>
      </c>
      <c r="B1064" s="2" t="s">
        <v>1067</v>
      </c>
      <c r="C1064" s="2" t="s">
        <v>1073</v>
      </c>
      <c r="D1064" s="3">
        <v>482021</v>
      </c>
      <c r="E1064" s="3">
        <v>21677</v>
      </c>
      <c r="F1064" s="3">
        <v>266</v>
      </c>
      <c r="G1064" s="3" t="s">
        <v>1012</v>
      </c>
      <c r="H1064" s="3" t="str">
        <f ca="1">IFERROR(__xludf.DUMMYFUNCTION("GOOGLETRANSLATE(B1064,""auto"",""en"")"),"Meat / lo snacks")</f>
        <v>Meat / lo snacks</v>
      </c>
      <c r="I1064" s="3" t="str">
        <f ca="1">IFERROR(__xludf.DUMMYFUNCTION("GOOGLETRANSLATE(C1064,""auto"",""en"")"),"pork jerky")</f>
        <v>pork jerky</v>
      </c>
    </row>
    <row r="1065" spans="1:9" ht="13" x14ac:dyDescent="0.15">
      <c r="A1065" s="2" t="s">
        <v>1009</v>
      </c>
      <c r="B1065" s="2" t="s">
        <v>1067</v>
      </c>
      <c r="C1065" s="2" t="s">
        <v>1074</v>
      </c>
      <c r="D1065" s="3">
        <v>482021</v>
      </c>
      <c r="E1065" s="3">
        <v>21677</v>
      </c>
      <c r="F1065" s="3">
        <v>197</v>
      </c>
      <c r="G1065" s="3" t="s">
        <v>1012</v>
      </c>
      <c r="H1065" s="3" t="str">
        <f ca="1">IFERROR(__xludf.DUMMYFUNCTION("GOOGLETRANSLATE(B1065,""auto"",""en"")"),"Meat / lo snacks")</f>
        <v>Meat / lo snacks</v>
      </c>
      <c r="I1065" s="3" t="str">
        <f ca="1">IFERROR(__xludf.DUMMYFUNCTION("GOOGLETRANSLATE(C1065,""auto"",""en"")"),"Chicken Feet")</f>
        <v>Chicken Feet</v>
      </c>
    </row>
    <row r="1066" spans="1:9" ht="13" x14ac:dyDescent="0.15">
      <c r="A1066" s="2" t="s">
        <v>1009</v>
      </c>
      <c r="B1066" s="2" t="s">
        <v>1067</v>
      </c>
      <c r="C1066" s="2" t="s">
        <v>1075</v>
      </c>
      <c r="D1066" s="3">
        <v>482021</v>
      </c>
      <c r="E1066" s="3">
        <v>21677</v>
      </c>
      <c r="F1066" s="3">
        <v>149</v>
      </c>
      <c r="G1066" s="3" t="s">
        <v>1012</v>
      </c>
      <c r="H1066" s="3" t="str">
        <f ca="1">IFERROR(__xludf.DUMMYFUNCTION("GOOGLETRANSLATE(B1066,""auto"",""en"")"),"Meat / lo snacks")</f>
        <v>Meat / lo snacks</v>
      </c>
      <c r="I1066" s="3" t="str">
        <f ca="1">IFERROR(__xludf.DUMMYFUNCTION("GOOGLETRANSLATE(C1066,""auto"",""en"")"),"Squid")</f>
        <v>Squid</v>
      </c>
    </row>
    <row r="1067" spans="1:9" ht="13" x14ac:dyDescent="0.15">
      <c r="A1067" s="2" t="s">
        <v>1009</v>
      </c>
      <c r="B1067" s="2" t="s">
        <v>1067</v>
      </c>
      <c r="C1067" s="2" t="s">
        <v>1076</v>
      </c>
      <c r="D1067" s="3">
        <v>482021</v>
      </c>
      <c r="E1067" s="3">
        <v>21677</v>
      </c>
      <c r="F1067" s="3">
        <v>139</v>
      </c>
      <c r="G1067" s="3" t="s">
        <v>1012</v>
      </c>
      <c r="H1067" s="3" t="str">
        <f ca="1">IFERROR(__xludf.DUMMYFUNCTION("GOOGLETRANSLATE(B1067,""auto"",""en"")"),"Meat / lo snacks")</f>
        <v>Meat / lo snacks</v>
      </c>
      <c r="I1067" s="3" t="str">
        <f ca="1">IFERROR(__xludf.DUMMYFUNCTION("GOOGLETRANSLATE(C1067,""auto"",""en"")"),"Chicken Snacks")</f>
        <v>Chicken Snacks</v>
      </c>
    </row>
    <row r="1068" spans="1:9" ht="13" x14ac:dyDescent="0.15">
      <c r="A1068" s="2" t="s">
        <v>1009</v>
      </c>
      <c r="B1068" s="2" t="s">
        <v>1067</v>
      </c>
      <c r="C1068" s="2" t="s">
        <v>1077</v>
      </c>
      <c r="D1068" s="3">
        <v>482021</v>
      </c>
      <c r="E1068" s="3">
        <v>21677</v>
      </c>
      <c r="F1068" s="3">
        <v>3</v>
      </c>
      <c r="G1068" s="3" t="s">
        <v>1012</v>
      </c>
      <c r="H1068" s="3" t="str">
        <f ca="1">IFERROR(__xludf.DUMMYFUNCTION("GOOGLETRANSLATE(B1068,""auto"",""en"")"),"Meat / lo snacks")</f>
        <v>Meat / lo snacks</v>
      </c>
      <c r="I1068" s="3" t="str">
        <f ca="1">IFERROR(__xludf.DUMMYFUNCTION("GOOGLETRANSLATE(C1068,""auto"",""en"")"),"Rabbit dry / rabbit small")</f>
        <v>Rabbit dry / rabbit small</v>
      </c>
    </row>
    <row r="1069" spans="1:9" ht="13" x14ac:dyDescent="0.15">
      <c r="A1069" s="2" t="s">
        <v>1009</v>
      </c>
      <c r="B1069" s="2" t="s">
        <v>1067</v>
      </c>
      <c r="C1069" s="2" t="s">
        <v>1078</v>
      </c>
      <c r="D1069" s="3">
        <v>482021</v>
      </c>
      <c r="E1069" s="3">
        <v>21677</v>
      </c>
      <c r="F1069" s="3">
        <v>1</v>
      </c>
      <c r="G1069" s="3" t="s">
        <v>1012</v>
      </c>
      <c r="H1069" s="3" t="str">
        <f ca="1">IFERROR(__xludf.DUMMYFUNCTION("GOOGLETRANSLATE(B1069,""auto"",""en"")"),"Meat / lo snacks")</f>
        <v>Meat / lo snacks</v>
      </c>
      <c r="I1069" s="3" t="str">
        <f ca="1">IFERROR(__xludf.DUMMYFUNCTION("GOOGLETRANSLATE(C1069,""auto"",""en"")"),"Donkey Meat Snacks")</f>
        <v>Donkey Meat Snacks</v>
      </c>
    </row>
    <row r="1070" spans="1:9" ht="13" x14ac:dyDescent="0.15">
      <c r="A1070" s="2" t="s">
        <v>1009</v>
      </c>
      <c r="B1070" s="2" t="s">
        <v>1079</v>
      </c>
      <c r="C1070" s="2" t="s">
        <v>1080</v>
      </c>
      <c r="D1070" s="3">
        <v>482021</v>
      </c>
      <c r="E1070" s="3">
        <v>16683</v>
      </c>
      <c r="F1070" s="3">
        <v>9669</v>
      </c>
      <c r="G1070" s="3" t="s">
        <v>1012</v>
      </c>
      <c r="H1070" s="3" t="str">
        <f ca="1">IFERROR(__xludf.DUMMYFUNCTION("GOOGLETRANSLATE(B1070,""auto"",""en"")"),"Preserves / jujube / dried fruit")</f>
        <v>Preserves / jujube / dried fruit</v>
      </c>
      <c r="I1070" s="3" t="str">
        <f ca="1">IFERROR(__xludf.DUMMYFUNCTION("GOOGLETRANSLATE(C1070,""auto"",""en"")"),"Dates")</f>
        <v>Dates</v>
      </c>
    </row>
    <row r="1071" spans="1:9" ht="13" x14ac:dyDescent="0.15">
      <c r="A1071" s="2" t="s">
        <v>1009</v>
      </c>
      <c r="B1071" s="2" t="s">
        <v>1079</v>
      </c>
      <c r="C1071" s="2" t="s">
        <v>1081</v>
      </c>
      <c r="D1071" s="3">
        <v>482021</v>
      </c>
      <c r="E1071" s="3">
        <v>16683</v>
      </c>
      <c r="F1071" s="3">
        <v>1602</v>
      </c>
      <c r="G1071" s="3" t="s">
        <v>1012</v>
      </c>
      <c r="H1071" s="3" t="str">
        <f ca="1">IFERROR(__xludf.DUMMYFUNCTION("GOOGLETRANSLATE(B1071,""auto"",""en"")"),"Preserves / jujube / dried fruit")</f>
        <v>Preserves / jujube / dried fruit</v>
      </c>
      <c r="I1071" s="3" t="str">
        <f ca="1">IFERROR(__xludf.DUMMYFUNCTION("GOOGLETRANSLATE(C1071,""auto"",""en"")"),"raisin")</f>
        <v>raisin</v>
      </c>
    </row>
    <row r="1072" spans="1:9" ht="13" x14ac:dyDescent="0.15">
      <c r="A1072" s="2" t="s">
        <v>1009</v>
      </c>
      <c r="B1072" s="2" t="s">
        <v>1079</v>
      </c>
      <c r="C1072" s="2" t="s">
        <v>1082</v>
      </c>
      <c r="D1072" s="3">
        <v>482021</v>
      </c>
      <c r="E1072" s="3">
        <v>16683</v>
      </c>
      <c r="F1072" s="3">
        <v>1335</v>
      </c>
      <c r="G1072" s="3" t="s">
        <v>1012</v>
      </c>
      <c r="H1072" s="3" t="str">
        <f ca="1">IFERROR(__xludf.DUMMYFUNCTION("GOOGLETRANSLATE(B1072,""auto"",""en"")"),"Preserves / jujube / dried fruit")</f>
        <v>Preserves / jujube / dried fruit</v>
      </c>
      <c r="I1072" s="3" t="str">
        <f ca="1">IFERROR(__xludf.DUMMYFUNCTION("GOOGLETRANSLATE(C1072,""auto"",""en"")"),"Plum")</f>
        <v>Plum</v>
      </c>
    </row>
    <row r="1073" spans="1:9" ht="13" x14ac:dyDescent="0.15">
      <c r="A1073" s="2" t="s">
        <v>1009</v>
      </c>
      <c r="B1073" s="2" t="s">
        <v>1079</v>
      </c>
      <c r="C1073" s="2" t="s">
        <v>1083</v>
      </c>
      <c r="D1073" s="3">
        <v>482021</v>
      </c>
      <c r="E1073" s="3">
        <v>16683</v>
      </c>
      <c r="F1073" s="3">
        <v>1284</v>
      </c>
      <c r="G1073" s="3" t="s">
        <v>1012</v>
      </c>
      <c r="H1073" s="3" t="str">
        <f ca="1">IFERROR(__xludf.DUMMYFUNCTION("GOOGLETRANSLATE(B1073,""auto"",""en"")"),"Preserves / jujube / dried fruit")</f>
        <v>Preserves / jujube / dried fruit</v>
      </c>
      <c r="I1073" s="3" t="str">
        <f ca="1">IFERROR(__xludf.DUMMYFUNCTION("GOOGLETRANSLATE(C1073,""auto"",""en"")"),"Hawthorn dry")</f>
        <v>Hawthorn dry</v>
      </c>
    </row>
    <row r="1074" spans="1:9" ht="13" x14ac:dyDescent="0.15">
      <c r="A1074" s="2" t="s">
        <v>1009</v>
      </c>
      <c r="B1074" s="2" t="s">
        <v>1079</v>
      </c>
      <c r="C1074" s="2" t="s">
        <v>1084</v>
      </c>
      <c r="D1074" s="3">
        <v>482021</v>
      </c>
      <c r="E1074" s="3">
        <v>16683</v>
      </c>
      <c r="F1074" s="3">
        <v>698</v>
      </c>
      <c r="G1074" s="3" t="s">
        <v>1012</v>
      </c>
      <c r="H1074" s="3" t="str">
        <f ca="1">IFERROR(__xludf.DUMMYFUNCTION("GOOGLETRANSLATE(B1074,""auto"",""en"")"),"Preserves / jujube / dried fruit")</f>
        <v>Preserves / jujube / dried fruit</v>
      </c>
      <c r="I1074" s="3" t="str">
        <f ca="1">IFERROR(__xludf.DUMMYFUNCTION("GOOGLETRANSLATE(C1074,""auto"",""en"")"),"Dry matter")</f>
        <v>Dry matter</v>
      </c>
    </row>
    <row r="1075" spans="1:9" ht="13" x14ac:dyDescent="0.15">
      <c r="A1075" s="2" t="s">
        <v>1009</v>
      </c>
      <c r="B1075" s="2" t="s">
        <v>1079</v>
      </c>
      <c r="C1075" s="2" t="s">
        <v>1085</v>
      </c>
      <c r="D1075" s="3">
        <v>482021</v>
      </c>
      <c r="E1075" s="3">
        <v>16683</v>
      </c>
      <c r="F1075" s="3">
        <v>415</v>
      </c>
      <c r="G1075" s="3" t="s">
        <v>1012</v>
      </c>
      <c r="H1075" s="3" t="str">
        <f ca="1">IFERROR(__xludf.DUMMYFUNCTION("GOOGLETRANSLATE(B1075,""auto"",""en"")"),"Preserves / jujube / dried fruit")</f>
        <v>Preserves / jujube / dried fruit</v>
      </c>
      <c r="I1075" s="3" t="str">
        <f ca="1">IFERROR(__xludf.DUMMYFUNCTION("GOOGLETRANSLATE(C1075,""auto"",""en"")"),"Dried mango")</f>
        <v>Dried mango</v>
      </c>
    </row>
    <row r="1076" spans="1:9" ht="13" x14ac:dyDescent="0.15">
      <c r="A1076" s="2" t="s">
        <v>1009</v>
      </c>
      <c r="B1076" s="2" t="s">
        <v>1079</v>
      </c>
      <c r="C1076" s="2" t="s">
        <v>1086</v>
      </c>
      <c r="D1076" s="3">
        <v>482021</v>
      </c>
      <c r="E1076" s="3">
        <v>16683</v>
      </c>
      <c r="F1076" s="3">
        <v>258</v>
      </c>
      <c r="G1076" s="3" t="s">
        <v>1012</v>
      </c>
      <c r="H1076" s="3" t="str">
        <f ca="1">IFERROR(__xludf.DUMMYFUNCTION("GOOGLETRANSLATE(B1076,""auto"",""en"")"),"Preserves / jujube / dried fruit")</f>
        <v>Preserves / jujube / dried fruit</v>
      </c>
      <c r="I1076" s="3" t="str">
        <f ca="1">IFERROR(__xludf.DUMMYFUNCTION("GOOGLETRANSLATE(C1076,""auto"",""en"")"),"Dried cranberries")</f>
        <v>Dried cranberries</v>
      </c>
    </row>
    <row r="1077" spans="1:9" ht="13" x14ac:dyDescent="0.15">
      <c r="A1077" s="2" t="s">
        <v>1009</v>
      </c>
      <c r="B1077" s="2" t="s">
        <v>1079</v>
      </c>
      <c r="C1077" s="2" t="s">
        <v>1087</v>
      </c>
      <c r="D1077" s="3">
        <v>482021</v>
      </c>
      <c r="E1077" s="3">
        <v>16683</v>
      </c>
      <c r="F1077" s="3">
        <v>255</v>
      </c>
      <c r="G1077" s="3" t="s">
        <v>1012</v>
      </c>
      <c r="H1077" s="3" t="str">
        <f ca="1">IFERROR(__xludf.DUMMYFUNCTION("GOOGLETRANSLATE(B1077,""auto"",""en"")"),"Preserves / jujube / dried fruit")</f>
        <v>Preserves / jujube / dried fruit</v>
      </c>
      <c r="I1077" s="3" t="str">
        <f ca="1">IFERROR(__xludf.DUMMYFUNCTION("GOOGLETRANSLATE(C1077,""auto"",""en"")"),"Dry fruits and vegetables")</f>
        <v>Dry fruits and vegetables</v>
      </c>
    </row>
    <row r="1078" spans="1:9" ht="13" x14ac:dyDescent="0.15">
      <c r="A1078" s="2" t="s">
        <v>1009</v>
      </c>
      <c r="B1078" s="2" t="s">
        <v>1079</v>
      </c>
      <c r="C1078" s="2" t="s">
        <v>1088</v>
      </c>
      <c r="D1078" s="3">
        <v>482021</v>
      </c>
      <c r="E1078" s="3">
        <v>16683</v>
      </c>
      <c r="F1078" s="3">
        <v>188</v>
      </c>
      <c r="G1078" s="3" t="s">
        <v>1012</v>
      </c>
      <c r="H1078" s="3" t="str">
        <f ca="1">IFERROR(__xludf.DUMMYFUNCTION("GOOGLETRANSLATE(B1078,""auto"",""en"")"),"Preserves / jujube / dried fruit")</f>
        <v>Preserves / jujube / dried fruit</v>
      </c>
      <c r="I1078" s="3" t="str">
        <f ca="1">IFERROR(__xludf.DUMMYFUNCTION("GOOGLETRANSLATE(C1078,""auto"",""en"")"),"Blueberry dry")</f>
        <v>Blueberry dry</v>
      </c>
    </row>
    <row r="1079" spans="1:9" ht="13" x14ac:dyDescent="0.15">
      <c r="A1079" s="2" t="s">
        <v>1009</v>
      </c>
      <c r="B1079" s="2" t="s">
        <v>1079</v>
      </c>
      <c r="C1079" s="2" t="s">
        <v>1089</v>
      </c>
      <c r="D1079" s="3">
        <v>482021</v>
      </c>
      <c r="E1079" s="3">
        <v>16683</v>
      </c>
      <c r="F1079" s="3">
        <v>175</v>
      </c>
      <c r="G1079" s="3" t="s">
        <v>1012</v>
      </c>
      <c r="H1079" s="3" t="str">
        <f ca="1">IFERROR(__xludf.DUMMYFUNCTION("GOOGLETRANSLATE(B1079,""auto"",""en"")"),"Preserves / jujube / dried fruit")</f>
        <v>Preserves / jujube / dried fruit</v>
      </c>
      <c r="I1079" s="3" t="str">
        <f ca="1">IFERROR(__xludf.DUMMYFUNCTION("GOOGLETRANSLATE(C1079,""auto"",""en"")"),"Dried figs")</f>
        <v>Dried figs</v>
      </c>
    </row>
    <row r="1080" spans="1:9" ht="13" x14ac:dyDescent="0.15">
      <c r="A1080" s="2" t="s">
        <v>1009</v>
      </c>
      <c r="B1080" s="2" t="s">
        <v>1079</v>
      </c>
      <c r="C1080" s="2" t="s">
        <v>1090</v>
      </c>
      <c r="D1080" s="3">
        <v>482021</v>
      </c>
      <c r="E1080" s="3">
        <v>16683</v>
      </c>
      <c r="F1080" s="3">
        <v>166</v>
      </c>
      <c r="G1080" s="3" t="s">
        <v>1012</v>
      </c>
      <c r="H1080" s="3" t="str">
        <f ca="1">IFERROR(__xludf.DUMMYFUNCTION("GOOGLETRANSLATE(B1080,""auto"",""en"")"),"Preserves / jujube / dried fruit")</f>
        <v>Preserves / jujube / dried fruit</v>
      </c>
      <c r="I1080" s="3" t="str">
        <f ca="1">IFERROR(__xludf.DUMMYFUNCTION("GOOGLETRANSLATE(C1080,""auto"",""en"")"),"Coconut slice")</f>
        <v>Coconut slice</v>
      </c>
    </row>
    <row r="1081" spans="1:9" ht="13" x14ac:dyDescent="0.15">
      <c r="A1081" s="2" t="s">
        <v>1009</v>
      </c>
      <c r="B1081" s="2" t="s">
        <v>1079</v>
      </c>
      <c r="C1081" s="2" t="s">
        <v>1072</v>
      </c>
      <c r="D1081" s="3">
        <v>482021</v>
      </c>
      <c r="E1081" s="3">
        <v>16683</v>
      </c>
      <c r="F1081" s="3">
        <v>154</v>
      </c>
      <c r="G1081" s="3" t="s">
        <v>1012</v>
      </c>
      <c r="H1081" s="3" t="str">
        <f ca="1">IFERROR(__xludf.DUMMYFUNCTION("GOOGLETRANSLATE(B1081,""auto"",""en"")"),"Preserves / jujube / dried fruit")</f>
        <v>Preserves / jujube / dried fruit</v>
      </c>
      <c r="I1081" s="3" t="str">
        <f ca="1">IFERROR(__xludf.DUMMYFUNCTION("GOOGLETRANSLATE(C1081,""auto"",""en"")"),"Dried beef")</f>
        <v>Dried beef</v>
      </c>
    </row>
    <row r="1082" spans="1:9" ht="13" x14ac:dyDescent="0.15">
      <c r="A1082" s="2" t="s">
        <v>1009</v>
      </c>
      <c r="B1082" s="2" t="s">
        <v>1079</v>
      </c>
      <c r="C1082" s="2" t="s">
        <v>1091</v>
      </c>
      <c r="D1082" s="3">
        <v>482021</v>
      </c>
      <c r="E1082" s="3">
        <v>16683</v>
      </c>
      <c r="F1082" s="3">
        <v>87</v>
      </c>
      <c r="G1082" s="3" t="s">
        <v>1012</v>
      </c>
      <c r="H1082" s="3" t="str">
        <f ca="1">IFERROR(__xludf.DUMMYFUNCTION("GOOGLETRANSLATE(B1082,""auto"",""en"")"),"Preserves / jujube / dried fruit")</f>
        <v>Preserves / jujube / dried fruit</v>
      </c>
      <c r="I1082" s="3" t="str">
        <f ca="1">IFERROR(__xludf.DUMMYFUNCTION("GOOGLETRANSLATE(C1082,""auto"",""en"")"),"Kiwi dry")</f>
        <v>Kiwi dry</v>
      </c>
    </row>
    <row r="1083" spans="1:9" ht="13" x14ac:dyDescent="0.15">
      <c r="A1083" s="2" t="s">
        <v>1009</v>
      </c>
      <c r="B1083" s="2" t="s">
        <v>1079</v>
      </c>
      <c r="C1083" s="2" t="s">
        <v>1092</v>
      </c>
      <c r="D1083" s="3">
        <v>482021</v>
      </c>
      <c r="E1083" s="3">
        <v>16683</v>
      </c>
      <c r="F1083" s="3">
        <v>72</v>
      </c>
      <c r="G1083" s="3" t="s">
        <v>1012</v>
      </c>
      <c r="H1083" s="3" t="str">
        <f ca="1">IFERROR(__xludf.DUMMYFUNCTION("GOOGLETRANSLATE(B1083,""auto"",""en"")"),"Preserves / jujube / dried fruit")</f>
        <v>Preserves / jujube / dried fruit</v>
      </c>
      <c r="I1083" s="3" t="str">
        <f ca="1">IFERROR(__xludf.DUMMYFUNCTION("GOOGLETRANSLATE(C1083,""auto"",""en"")"),"Durian dry")</f>
        <v>Durian dry</v>
      </c>
    </row>
    <row r="1084" spans="1:9" ht="13" x14ac:dyDescent="0.15">
      <c r="A1084" s="2" t="s">
        <v>1009</v>
      </c>
      <c r="B1084" s="2" t="s">
        <v>1079</v>
      </c>
      <c r="C1084" s="2" t="s">
        <v>1093</v>
      </c>
      <c r="D1084" s="3">
        <v>482021</v>
      </c>
      <c r="E1084" s="3">
        <v>16683</v>
      </c>
      <c r="F1084" s="3">
        <v>55</v>
      </c>
      <c r="G1084" s="3" t="s">
        <v>1012</v>
      </c>
      <c r="H1084" s="3" t="str">
        <f ca="1">IFERROR(__xludf.DUMMYFUNCTION("GOOGLETRANSLATE(B1084,""auto"",""en"")"),"Preserves / jujube / dried fruit")</f>
        <v>Preserves / jujube / dried fruit</v>
      </c>
      <c r="I1084" s="3" t="str">
        <f ca="1">IFERROR(__xludf.DUMMYFUNCTION("GOOGLETRANSLATE(C1084,""auto"",""en"")"),"jackfruit")</f>
        <v>jackfruit</v>
      </c>
    </row>
    <row r="1085" spans="1:9" ht="13" x14ac:dyDescent="0.15">
      <c r="A1085" s="2" t="s">
        <v>1009</v>
      </c>
      <c r="B1085" s="2" t="s">
        <v>1079</v>
      </c>
      <c r="C1085" s="2" t="s">
        <v>1094</v>
      </c>
      <c r="D1085" s="3">
        <v>482021</v>
      </c>
      <c r="E1085" s="3">
        <v>16683</v>
      </c>
      <c r="F1085" s="3">
        <v>52</v>
      </c>
      <c r="G1085" s="3" t="s">
        <v>1012</v>
      </c>
      <c r="H1085" s="3" t="str">
        <f ca="1">IFERROR(__xludf.DUMMYFUNCTION("GOOGLETRANSLATE(B1085,""auto"",""en"")"),"Preserves / jujube / dried fruit")</f>
        <v>Preserves / jujube / dried fruit</v>
      </c>
      <c r="I1085" s="3" t="str">
        <f ca="1">IFERROR(__xludf.DUMMYFUNCTION("GOOGLETRANSLATE(C1085,""auto"",""en"")"),"Banana / tablet")</f>
        <v>Banana / tablet</v>
      </c>
    </row>
    <row r="1086" spans="1:9" ht="13" x14ac:dyDescent="0.15">
      <c r="A1086" s="2" t="s">
        <v>1009</v>
      </c>
      <c r="B1086" s="2" t="s">
        <v>1079</v>
      </c>
      <c r="C1086" s="2" t="s">
        <v>1095</v>
      </c>
      <c r="D1086" s="3">
        <v>482021</v>
      </c>
      <c r="E1086" s="3">
        <v>16683</v>
      </c>
      <c r="F1086" s="3">
        <v>36</v>
      </c>
      <c r="G1086" s="3" t="s">
        <v>1012</v>
      </c>
      <c r="H1086" s="3" t="str">
        <f ca="1">IFERROR(__xludf.DUMMYFUNCTION("GOOGLETRANSLATE(B1086,""auto"",""en"")"),"Preserves / jujube / dried fruit")</f>
        <v>Preserves / jujube / dried fruit</v>
      </c>
      <c r="I1086" s="3" t="str">
        <f ca="1">IFERROR(__xludf.DUMMYFUNCTION("GOOGLETRANSLATE(C1086,""auto"",""en"")"),"Joan of dried fruit")</f>
        <v>Joan of dried fruit</v>
      </c>
    </row>
    <row r="1087" spans="1:9" ht="13" x14ac:dyDescent="0.15">
      <c r="A1087" s="2" t="s">
        <v>1009</v>
      </c>
      <c r="B1087" s="2" t="s">
        <v>1079</v>
      </c>
      <c r="C1087" s="2" t="s">
        <v>1096</v>
      </c>
      <c r="D1087" s="3">
        <v>482021</v>
      </c>
      <c r="E1087" s="3">
        <v>16683</v>
      </c>
      <c r="F1087" s="3">
        <v>30</v>
      </c>
      <c r="G1087" s="3" t="s">
        <v>1012</v>
      </c>
      <c r="H1087" s="3" t="str">
        <f ca="1">IFERROR(__xludf.DUMMYFUNCTION("GOOGLETRANSLATE(B1087,""auto"",""en"")"),"Preserves / jujube / dried fruit")</f>
        <v>Preserves / jujube / dried fruit</v>
      </c>
      <c r="I1087" s="3" t="str">
        <f ca="1">IFERROR(__xludf.DUMMYFUNCTION("GOOGLETRANSLATE(C1087,""auto"",""en"")"),"Bamboo shoots products")</f>
        <v>Bamboo shoots products</v>
      </c>
    </row>
    <row r="1088" spans="1:9" ht="13" x14ac:dyDescent="0.15">
      <c r="A1088" s="2" t="s">
        <v>1009</v>
      </c>
      <c r="B1088" s="2" t="s">
        <v>1079</v>
      </c>
      <c r="C1088" s="2" t="s">
        <v>1097</v>
      </c>
      <c r="D1088" s="3">
        <v>482021</v>
      </c>
      <c r="E1088" s="3">
        <v>16683</v>
      </c>
      <c r="F1088" s="3">
        <v>30</v>
      </c>
      <c r="G1088" s="3" t="s">
        <v>1012</v>
      </c>
      <c r="H1088" s="3" t="str">
        <f ca="1">IFERROR(__xludf.DUMMYFUNCTION("GOOGLETRANSLATE(B1088,""auto"",""en"")"),"Preserves / jujube / dried fruit")</f>
        <v>Preserves / jujube / dried fruit</v>
      </c>
      <c r="I1088" s="3" t="str">
        <f ca="1">IFERROR(__xludf.DUMMYFUNCTION("GOOGLETRANSLATE(C1088,""auto"",""en"")"),"Dried strawberries")</f>
        <v>Dried strawberries</v>
      </c>
    </row>
    <row r="1089" spans="1:9" ht="13" x14ac:dyDescent="0.15">
      <c r="A1089" s="2" t="s">
        <v>1009</v>
      </c>
      <c r="B1089" s="2" t="s">
        <v>1079</v>
      </c>
      <c r="C1089" s="2" t="s">
        <v>1098</v>
      </c>
      <c r="D1089" s="3">
        <v>482021</v>
      </c>
      <c r="E1089" s="3">
        <v>16683</v>
      </c>
      <c r="F1089" s="3">
        <v>26</v>
      </c>
      <c r="G1089" s="3" t="s">
        <v>1012</v>
      </c>
      <c r="H1089" s="3" t="str">
        <f ca="1">IFERROR(__xludf.DUMMYFUNCTION("GOOGLETRANSLATE(B1089,""auto"",""en"")"),"Preserves / jujube / dried fruit")</f>
        <v>Preserves / jujube / dried fruit</v>
      </c>
      <c r="I1089" s="3" t="str">
        <f ca="1">IFERROR(__xludf.DUMMYFUNCTION("GOOGLETRANSLATE(C1089,""auto"",""en"")"),"Duck wings")</f>
        <v>Duck wings</v>
      </c>
    </row>
    <row r="1090" spans="1:9" ht="13" x14ac:dyDescent="0.15">
      <c r="A1090" s="2" t="s">
        <v>1009</v>
      </c>
      <c r="B1090" s="2" t="s">
        <v>1079</v>
      </c>
      <c r="C1090" s="2" t="s">
        <v>1099</v>
      </c>
      <c r="D1090" s="3">
        <v>482021</v>
      </c>
      <c r="E1090" s="3">
        <v>16683</v>
      </c>
      <c r="F1090" s="3">
        <v>21</v>
      </c>
      <c r="G1090" s="3" t="s">
        <v>1012</v>
      </c>
      <c r="H1090" s="3" t="str">
        <f ca="1">IFERROR(__xludf.DUMMYFUNCTION("GOOGLETRANSLATE(B1090,""auto"",""en"")"),"Preserves / jujube / dried fruit")</f>
        <v>Preserves / jujube / dried fruit</v>
      </c>
      <c r="I1090" s="3" t="str">
        <f ca="1">IFERROR(__xludf.DUMMYFUNCTION("GOOGLETRANSLATE(C1090,""auto"",""en"")"),"Dried cherries")</f>
        <v>Dried cherries</v>
      </c>
    </row>
    <row r="1091" spans="1:9" ht="13" x14ac:dyDescent="0.15">
      <c r="A1091" s="2" t="s">
        <v>1009</v>
      </c>
      <c r="B1091" s="2" t="s">
        <v>1079</v>
      </c>
      <c r="C1091" s="2" t="s">
        <v>1100</v>
      </c>
      <c r="D1091" s="3">
        <v>482021</v>
      </c>
      <c r="E1091" s="3">
        <v>16683</v>
      </c>
      <c r="F1091" s="3">
        <v>15</v>
      </c>
      <c r="G1091" s="3" t="s">
        <v>1012</v>
      </c>
      <c r="H1091" s="3" t="str">
        <f ca="1">IFERROR(__xludf.DUMMYFUNCTION("GOOGLETRANSLATE(B1091,""auto"",""en"")"),"Preserves / jujube / dried fruit")</f>
        <v>Preserves / jujube / dried fruit</v>
      </c>
      <c r="I1091" s="3" t="str">
        <f ca="1">IFERROR(__xludf.DUMMYFUNCTION("GOOGLETRANSLATE(C1091,""auto"",""en"")"),"Mulberry dry")</f>
        <v>Mulberry dry</v>
      </c>
    </row>
    <row r="1092" spans="1:9" ht="13" x14ac:dyDescent="0.15">
      <c r="A1092" s="2" t="s">
        <v>1009</v>
      </c>
      <c r="B1092" s="2" t="s">
        <v>1079</v>
      </c>
      <c r="C1092" s="2" t="s">
        <v>1101</v>
      </c>
      <c r="D1092" s="3">
        <v>482021</v>
      </c>
      <c r="E1092" s="3">
        <v>16683</v>
      </c>
      <c r="F1092" s="3">
        <v>15</v>
      </c>
      <c r="G1092" s="3" t="s">
        <v>1012</v>
      </c>
      <c r="H1092" s="3" t="str">
        <f ca="1">IFERROR(__xludf.DUMMYFUNCTION("GOOGLETRANSLATE(B1092,""auto"",""en"")"),"Preserves / jujube / dried fruit")</f>
        <v>Preserves / jujube / dried fruit</v>
      </c>
      <c r="I1092" s="3" t="str">
        <f ca="1">IFERROR(__xludf.DUMMYFUNCTION("GOOGLETRANSLATE(C1092,""auto"",""en"")"),"Tamarind")</f>
        <v>Tamarind</v>
      </c>
    </row>
    <row r="1093" spans="1:9" ht="13" x14ac:dyDescent="0.15">
      <c r="A1093" s="2" t="s">
        <v>1009</v>
      </c>
      <c r="B1093" s="2" t="s">
        <v>1079</v>
      </c>
      <c r="C1093" s="2" t="s">
        <v>1102</v>
      </c>
      <c r="D1093" s="3">
        <v>482021</v>
      </c>
      <c r="E1093" s="3">
        <v>16683</v>
      </c>
      <c r="F1093" s="3">
        <v>13</v>
      </c>
      <c r="G1093" s="3" t="s">
        <v>1012</v>
      </c>
      <c r="H1093" s="3" t="str">
        <f ca="1">IFERROR(__xludf.DUMMYFUNCTION("GOOGLETRANSLATE(B1093,""auto"",""en"")"),"Preserves / jujube / dried fruit")</f>
        <v>Preserves / jujube / dried fruit</v>
      </c>
      <c r="I1093" s="3" t="str">
        <f ca="1">IFERROR(__xludf.DUMMYFUNCTION("GOOGLETRANSLATE(C1093,""auto"",""en"")"),"Persimmon")</f>
        <v>Persimmon</v>
      </c>
    </row>
    <row r="1094" spans="1:9" ht="13" x14ac:dyDescent="0.15">
      <c r="A1094" s="2" t="s">
        <v>1009</v>
      </c>
      <c r="B1094" s="2" t="s">
        <v>1079</v>
      </c>
      <c r="C1094" s="2" t="s">
        <v>1103</v>
      </c>
      <c r="D1094" s="3">
        <v>482021</v>
      </c>
      <c r="E1094" s="3">
        <v>16683</v>
      </c>
      <c r="F1094" s="3">
        <v>12</v>
      </c>
      <c r="G1094" s="3" t="s">
        <v>1012</v>
      </c>
      <c r="H1094" s="3" t="str">
        <f ca="1">IFERROR(__xludf.DUMMYFUNCTION("GOOGLETRANSLATE(B1094,""auto"",""en"")"),"Preserves / jujube / dried fruit")</f>
        <v>Preserves / jujube / dried fruit</v>
      </c>
      <c r="I1094" s="3" t="str">
        <f ca="1">IFERROR(__xludf.DUMMYFUNCTION("GOOGLETRANSLATE(C1094,""auto"",""en"")"),"Plus should the child / plum")</f>
        <v>Plus should the child / plum</v>
      </c>
    </row>
    <row r="1095" spans="1:9" ht="13" x14ac:dyDescent="0.15">
      <c r="A1095" s="2" t="s">
        <v>1009</v>
      </c>
      <c r="B1095" s="2" t="s">
        <v>1079</v>
      </c>
      <c r="C1095" s="2" t="s">
        <v>1104</v>
      </c>
      <c r="D1095" s="3">
        <v>482021</v>
      </c>
      <c r="E1095" s="3">
        <v>16683</v>
      </c>
      <c r="F1095" s="3">
        <v>9</v>
      </c>
      <c r="G1095" s="3" t="s">
        <v>1012</v>
      </c>
      <c r="H1095" s="3" t="str">
        <f ca="1">IFERROR(__xludf.DUMMYFUNCTION("GOOGLETRANSLATE(B1095,""auto"",""en"")"),"Preserves / jujube / dried fruit")</f>
        <v>Preserves / jujube / dried fruit</v>
      </c>
      <c r="I1095" s="3" t="str">
        <f ca="1">IFERROR(__xludf.DUMMYFUNCTION("GOOGLETRANSLATE(C1095,""auto"",""en"")"),"Benn")</f>
        <v>Benn</v>
      </c>
    </row>
    <row r="1096" spans="1:9" ht="13" x14ac:dyDescent="0.15">
      <c r="A1096" s="2" t="s">
        <v>1009</v>
      </c>
      <c r="B1096" s="2" t="s">
        <v>1079</v>
      </c>
      <c r="C1096" s="2" t="s">
        <v>1105</v>
      </c>
      <c r="D1096" s="3">
        <v>482021</v>
      </c>
      <c r="E1096" s="3">
        <v>16683</v>
      </c>
      <c r="F1096" s="3">
        <v>7</v>
      </c>
      <c r="G1096" s="3" t="s">
        <v>1012</v>
      </c>
      <c r="H1096" s="3" t="str">
        <f ca="1">IFERROR(__xludf.DUMMYFUNCTION("GOOGLETRANSLATE(B1096,""auto"",""en"")"),"Preserves / jujube / dried fruit")</f>
        <v>Preserves / jujube / dried fruit</v>
      </c>
      <c r="I1096" s="3" t="str">
        <f ca="1">IFERROR(__xludf.DUMMYFUNCTION("GOOGLETRANSLATE(C1096,""auto"",""en"")"),"Pineapple / pineapple dry")</f>
        <v>Pineapple / pineapple dry</v>
      </c>
    </row>
    <row r="1097" spans="1:9" ht="13" x14ac:dyDescent="0.15">
      <c r="A1097" s="2" t="s">
        <v>1009</v>
      </c>
      <c r="B1097" s="2" t="s">
        <v>1079</v>
      </c>
      <c r="C1097" s="2" t="s">
        <v>1106</v>
      </c>
      <c r="D1097" s="3">
        <v>482021</v>
      </c>
      <c r="E1097" s="3">
        <v>16683</v>
      </c>
      <c r="F1097" s="3">
        <v>6</v>
      </c>
      <c r="G1097" s="3" t="s">
        <v>1012</v>
      </c>
      <c r="H1097" s="3" t="str">
        <f ca="1">IFERROR(__xludf.DUMMYFUNCTION("GOOGLETRANSLATE(B1097,""auto"",""en"")"),"Preserves / jujube / dried fruit")</f>
        <v>Preserves / jujube / dried fruit</v>
      </c>
      <c r="I1097" s="3" t="str">
        <f ca="1">IFERROR(__xludf.DUMMYFUNCTION("GOOGLETRANSLATE(C1097,""auto"",""en"")"),"Almond / dried apricots")</f>
        <v>Almond / dried apricots</v>
      </c>
    </row>
    <row r="1098" spans="1:9" ht="13" x14ac:dyDescent="0.15">
      <c r="A1098" s="2" t="s">
        <v>1009</v>
      </c>
      <c r="B1098" s="2" t="s">
        <v>1079</v>
      </c>
      <c r="C1098" s="2" t="s">
        <v>1107</v>
      </c>
      <c r="D1098" s="3">
        <v>482021</v>
      </c>
      <c r="E1098" s="3">
        <v>16683</v>
      </c>
      <c r="F1098" s="3">
        <v>4</v>
      </c>
      <c r="G1098" s="3" t="s">
        <v>1012</v>
      </c>
      <c r="H1098" s="3" t="str">
        <f ca="1">IFERROR(__xludf.DUMMYFUNCTION("GOOGLETRANSLATE(B1098,""auto"",""en"")"),"Preserves / jujube / dried fruit")</f>
        <v>Preserves / jujube / dried fruit</v>
      </c>
      <c r="I1098" s="3" t="str">
        <f ca="1">IFERROR(__xludf.DUMMYFUNCTION("GOOGLETRANSLATE(C1098,""auto"",""en"")"),"Duck neck")</f>
        <v>Duck neck</v>
      </c>
    </row>
    <row r="1099" spans="1:9" ht="13" x14ac:dyDescent="0.15">
      <c r="A1099" s="2" t="s">
        <v>1009</v>
      </c>
      <c r="B1099" s="2" t="s">
        <v>1079</v>
      </c>
      <c r="C1099" s="2" t="s">
        <v>1108</v>
      </c>
      <c r="D1099" s="3">
        <v>482021</v>
      </c>
      <c r="E1099" s="3">
        <v>16683</v>
      </c>
      <c r="F1099" s="3">
        <v>4</v>
      </c>
      <c r="G1099" s="3" t="s">
        <v>1012</v>
      </c>
      <c r="H1099" s="3" t="str">
        <f ca="1">IFERROR(__xludf.DUMMYFUNCTION("GOOGLETRANSLATE(B1099,""auto"",""en"")"),"Preserves / jujube / dried fruit")</f>
        <v>Preserves / jujube / dried fruit</v>
      </c>
      <c r="I1099" s="3" t="str">
        <f ca="1">IFERROR(__xludf.DUMMYFUNCTION("GOOGLETRANSLATE(C1099,""auto"",""en"")"),"Peach dry")</f>
        <v>Peach dry</v>
      </c>
    </row>
    <row r="1100" spans="1:9" ht="13" x14ac:dyDescent="0.15">
      <c r="A1100" s="2" t="s">
        <v>1009</v>
      </c>
      <c r="B1100" s="2" t="s">
        <v>1079</v>
      </c>
      <c r="C1100" s="2" t="s">
        <v>1109</v>
      </c>
      <c r="D1100" s="3">
        <v>482021</v>
      </c>
      <c r="E1100" s="3">
        <v>16683</v>
      </c>
      <c r="F1100" s="3">
        <v>1</v>
      </c>
      <c r="G1100" s="3" t="s">
        <v>1012</v>
      </c>
      <c r="H1100" s="3" t="str">
        <f ca="1">IFERROR(__xludf.DUMMYFUNCTION("GOOGLETRANSLATE(B1100,""auto"",""en"")"),"Preserves / jujube / dried fruit")</f>
        <v>Preserves / jujube / dried fruit</v>
      </c>
      <c r="I1100" s="3" t="str">
        <f ca="1">IFERROR(__xludf.DUMMYFUNCTION("GOOGLETRANSLATE(C1100,""auto"",""en"")"),"Pumpkin dry")</f>
        <v>Pumpkin dry</v>
      </c>
    </row>
    <row r="1101" spans="1:9" ht="13" x14ac:dyDescent="0.15">
      <c r="A1101" s="2" t="s">
        <v>1009</v>
      </c>
      <c r="B1101" s="2" t="s">
        <v>1110</v>
      </c>
      <c r="C1101" s="2" t="s">
        <v>1111</v>
      </c>
      <c r="D1101" s="3">
        <v>482021</v>
      </c>
      <c r="E1101" s="3">
        <v>14809</v>
      </c>
      <c r="F1101" s="3">
        <v>8999</v>
      </c>
      <c r="G1101" s="3" t="s">
        <v>1012</v>
      </c>
      <c r="H1101" s="3" t="str">
        <f ca="1">IFERROR(__xludf.DUMMYFUNCTION("GOOGLETRANSLATE(B1101,""auto"",""en"")"),"Coffee / cereal / Drink Mixes")</f>
        <v>Coffee / cereal / Drink Mixes</v>
      </c>
      <c r="I1101" s="3" t="str">
        <f ca="1">IFERROR(__xludf.DUMMYFUNCTION("GOOGLETRANSLATE(C1101,""auto"",""en"")"),"Brewed into tea")</f>
        <v>Brewed into tea</v>
      </c>
    </row>
    <row r="1102" spans="1:9" ht="13" x14ac:dyDescent="0.15">
      <c r="A1102" s="2" t="s">
        <v>1009</v>
      </c>
      <c r="B1102" s="2" t="s">
        <v>1110</v>
      </c>
      <c r="C1102" s="2" t="s">
        <v>1063</v>
      </c>
      <c r="D1102" s="3">
        <v>482021</v>
      </c>
      <c r="E1102" s="3">
        <v>14809</v>
      </c>
      <c r="F1102" s="3">
        <v>1553</v>
      </c>
      <c r="G1102" s="3" t="s">
        <v>1012</v>
      </c>
      <c r="H1102" s="3" t="str">
        <f ca="1">IFERROR(__xludf.DUMMYFUNCTION("GOOGLETRANSLATE(B1102,""auto"",""en"")"),"Coffee / cereal / Drink Mixes")</f>
        <v>Coffee / cereal / Drink Mixes</v>
      </c>
      <c r="I1102" s="3" t="str">
        <f ca="1">IFERROR(__xludf.DUMMYFUNCTION("GOOGLETRANSLATE(C1102,""auto"",""en"")"),"oatmeal")</f>
        <v>oatmeal</v>
      </c>
    </row>
    <row r="1103" spans="1:9" ht="13" x14ac:dyDescent="0.15">
      <c r="A1103" s="2" t="s">
        <v>1009</v>
      </c>
      <c r="B1103" s="2" t="s">
        <v>1110</v>
      </c>
      <c r="C1103" s="2" t="s">
        <v>1112</v>
      </c>
      <c r="D1103" s="3">
        <v>482021</v>
      </c>
      <c r="E1103" s="3">
        <v>14809</v>
      </c>
      <c r="F1103" s="3">
        <v>1277</v>
      </c>
      <c r="G1103" s="3" t="s">
        <v>1012</v>
      </c>
      <c r="H1103" s="3" t="str">
        <f ca="1">IFERROR(__xludf.DUMMYFUNCTION("GOOGLETRANSLATE(B1103,""auto"",""en"")"),"Coffee / cereal / Drink Mixes")</f>
        <v>Coffee / cereal / Drink Mixes</v>
      </c>
      <c r="I1103" s="3" t="str">
        <f ca="1">IFERROR(__xludf.DUMMYFUNCTION("GOOGLETRANSLATE(C1103,""auto"",""en"")"),"Tea drinks")</f>
        <v>Tea drinks</v>
      </c>
    </row>
    <row r="1104" spans="1:9" ht="13" x14ac:dyDescent="0.15">
      <c r="A1104" s="2" t="s">
        <v>1009</v>
      </c>
      <c r="B1104" s="2" t="s">
        <v>1110</v>
      </c>
      <c r="C1104" s="2" t="s">
        <v>92</v>
      </c>
      <c r="D1104" s="3">
        <v>482021</v>
      </c>
      <c r="E1104" s="3">
        <v>14809</v>
      </c>
      <c r="F1104" s="3">
        <v>1006</v>
      </c>
      <c r="G1104" s="3" t="s">
        <v>1012</v>
      </c>
      <c r="H1104" s="3" t="str">
        <f ca="1">IFERROR(__xludf.DUMMYFUNCTION("GOOGLETRANSLATE(B1104,""auto"",""en"")"),"Coffee / cereal / Drink Mixes")</f>
        <v>Coffee / cereal / Drink Mixes</v>
      </c>
      <c r="I1104" s="3" t="str">
        <f ca="1">IFERROR(__xludf.DUMMYFUNCTION("GOOGLETRANSLATE(C1104,""auto"",""en"")"),"other")</f>
        <v>other</v>
      </c>
    </row>
    <row r="1105" spans="1:9" ht="13" x14ac:dyDescent="0.15">
      <c r="A1105" s="2" t="s">
        <v>1009</v>
      </c>
      <c r="B1105" s="2" t="s">
        <v>1110</v>
      </c>
      <c r="C1105" s="2" t="s">
        <v>1113</v>
      </c>
      <c r="D1105" s="3">
        <v>482021</v>
      </c>
      <c r="E1105" s="3">
        <v>14809</v>
      </c>
      <c r="F1105" s="3">
        <v>829</v>
      </c>
      <c r="G1105" s="3" t="s">
        <v>1012</v>
      </c>
      <c r="H1105" s="3" t="str">
        <f ca="1">IFERROR(__xludf.DUMMYFUNCTION("GOOGLETRANSLATE(B1105,""auto"",""en"")"),"Coffee / cereal / Drink Mixes")</f>
        <v>Coffee / cereal / Drink Mixes</v>
      </c>
      <c r="I1105" s="3" t="str">
        <f ca="1">IFERROR(__xludf.DUMMYFUNCTION("GOOGLETRANSLATE(C1105,""auto"",""en"")"),"coffee")</f>
        <v>coffee</v>
      </c>
    </row>
    <row r="1106" spans="1:9" ht="13" x14ac:dyDescent="0.15">
      <c r="A1106" s="2" t="s">
        <v>1009</v>
      </c>
      <c r="B1106" s="2" t="s">
        <v>1110</v>
      </c>
      <c r="C1106" s="2" t="s">
        <v>1114</v>
      </c>
      <c r="D1106" s="3">
        <v>482021</v>
      </c>
      <c r="E1106" s="3">
        <v>14809</v>
      </c>
      <c r="F1106" s="3">
        <v>483</v>
      </c>
      <c r="G1106" s="3" t="s">
        <v>1012</v>
      </c>
      <c r="H1106" s="3" t="str">
        <f ca="1">IFERROR(__xludf.DUMMYFUNCTION("GOOGLETRANSLATE(B1106,""auto"",""en"")"),"Coffee / cereal / Drink Mixes")</f>
        <v>Coffee / cereal / Drink Mixes</v>
      </c>
      <c r="I1106" s="3" t="str">
        <f ca="1">IFERROR(__xludf.DUMMYFUNCTION("GOOGLETRANSLATE(C1106,""auto"",""en"")"),"Ginger")</f>
        <v>Ginger</v>
      </c>
    </row>
    <row r="1107" spans="1:9" ht="13" x14ac:dyDescent="0.15">
      <c r="A1107" s="2" t="s">
        <v>1009</v>
      </c>
      <c r="B1107" s="2" t="s">
        <v>1110</v>
      </c>
      <c r="C1107" s="2" t="s">
        <v>1115</v>
      </c>
      <c r="D1107" s="3">
        <v>482021</v>
      </c>
      <c r="E1107" s="3">
        <v>14809</v>
      </c>
      <c r="F1107" s="3">
        <v>273</v>
      </c>
      <c r="G1107" s="3" t="s">
        <v>1012</v>
      </c>
      <c r="H1107" s="3" t="str">
        <f ca="1">IFERROR(__xludf.DUMMYFUNCTION("GOOGLETRANSLATE(B1107,""auto"",""en"")"),"Coffee / cereal / Drink Mixes")</f>
        <v>Coffee / cereal / Drink Mixes</v>
      </c>
      <c r="I1107" s="3" t="str">
        <f ca="1">IFERROR(__xludf.DUMMYFUNCTION("GOOGLETRANSLATE(C1107,""auto"",""en"")"),"Honey fruit tea")</f>
        <v>Honey fruit tea</v>
      </c>
    </row>
    <row r="1108" spans="1:9" ht="13" x14ac:dyDescent="0.15">
      <c r="A1108" s="2" t="s">
        <v>1009</v>
      </c>
      <c r="B1108" s="2" t="s">
        <v>1110</v>
      </c>
      <c r="C1108" s="2" t="s">
        <v>1116</v>
      </c>
      <c r="D1108" s="3">
        <v>482021</v>
      </c>
      <c r="E1108" s="3">
        <v>14809</v>
      </c>
      <c r="F1108" s="3">
        <v>170</v>
      </c>
      <c r="G1108" s="3" t="s">
        <v>1012</v>
      </c>
      <c r="H1108" s="3" t="str">
        <f ca="1">IFERROR(__xludf.DUMMYFUNCTION("GOOGLETRANSLATE(B1108,""auto"",""en"")"),"Coffee / cereal / Drink Mixes")</f>
        <v>Coffee / cereal / Drink Mixes</v>
      </c>
      <c r="I1108" s="3" t="str">
        <f ca="1">IFERROR(__xludf.DUMMYFUNCTION("GOOGLETRANSLATE(C1108,""auto"",""en"")"),"Sesame paste")</f>
        <v>Sesame paste</v>
      </c>
    </row>
    <row r="1109" spans="1:9" ht="13" x14ac:dyDescent="0.15">
      <c r="A1109" s="2" t="s">
        <v>1009</v>
      </c>
      <c r="B1109" s="2" t="s">
        <v>1110</v>
      </c>
      <c r="C1109" s="2" t="s">
        <v>1117</v>
      </c>
      <c r="D1109" s="3">
        <v>482021</v>
      </c>
      <c r="E1109" s="3">
        <v>14809</v>
      </c>
      <c r="F1109" s="3">
        <v>67</v>
      </c>
      <c r="G1109" s="3" t="s">
        <v>1012</v>
      </c>
      <c r="H1109" s="3" t="str">
        <f ca="1">IFERROR(__xludf.DUMMYFUNCTION("GOOGLETRANSLATE(B1109,""auto"",""en"")"),"Coffee / cereal / Drink Mixes")</f>
        <v>Coffee / cereal / Drink Mixes</v>
      </c>
      <c r="I1109" s="3" t="str">
        <f ca="1">IFERROR(__xludf.DUMMYFUNCTION("GOOGLETRANSLATE(C1109,""auto"",""en"")"),"fruit juice")</f>
        <v>fruit juice</v>
      </c>
    </row>
    <row r="1110" spans="1:9" ht="13" x14ac:dyDescent="0.15">
      <c r="A1110" s="2" t="s">
        <v>1009</v>
      </c>
      <c r="B1110" s="2" t="s">
        <v>1110</v>
      </c>
      <c r="C1110" s="2" t="s">
        <v>1118</v>
      </c>
      <c r="D1110" s="3">
        <v>482021</v>
      </c>
      <c r="E1110" s="3">
        <v>14809</v>
      </c>
      <c r="F1110" s="3">
        <v>61</v>
      </c>
      <c r="G1110" s="3" t="s">
        <v>1012</v>
      </c>
      <c r="H1110" s="3" t="str">
        <f ca="1">IFERROR(__xludf.DUMMYFUNCTION("GOOGLETRANSLATE(B1110,""auto"",""en"")"),"Coffee / cereal / Drink Mixes")</f>
        <v>Coffee / cereal / Drink Mixes</v>
      </c>
      <c r="I1110" s="3" t="str">
        <f ca="1">IFERROR(__xludf.DUMMYFUNCTION("GOOGLETRANSLATE(C1110,""auto"",""en"")"),"lotus root starch")</f>
        <v>lotus root starch</v>
      </c>
    </row>
    <row r="1111" spans="1:9" ht="13" x14ac:dyDescent="0.15">
      <c r="A1111" s="2" t="s">
        <v>1009</v>
      </c>
      <c r="B1111" s="2" t="s">
        <v>1110</v>
      </c>
      <c r="C1111" s="2" t="s">
        <v>1119</v>
      </c>
      <c r="D1111" s="3">
        <v>482021</v>
      </c>
      <c r="E1111" s="3">
        <v>14809</v>
      </c>
      <c r="F1111" s="3">
        <v>28</v>
      </c>
      <c r="G1111" s="3" t="s">
        <v>1012</v>
      </c>
      <c r="H1111" s="3" t="str">
        <f ca="1">IFERROR(__xludf.DUMMYFUNCTION("GOOGLETRANSLATE(B1111,""auto"",""en"")"),"Coffee / cereal / Drink Mixes")</f>
        <v>Coffee / cereal / Drink Mixes</v>
      </c>
      <c r="I1111" s="3" t="str">
        <f ca="1">IFERROR(__xludf.DUMMYFUNCTION("GOOGLETRANSLATE(C1111,""auto"",""en"")"),"Nectar")</f>
        <v>Nectar</v>
      </c>
    </row>
    <row r="1112" spans="1:9" ht="13" x14ac:dyDescent="0.15">
      <c r="A1112" s="2" t="s">
        <v>1009</v>
      </c>
      <c r="B1112" s="2" t="s">
        <v>1110</v>
      </c>
      <c r="C1112" s="2" t="s">
        <v>1120</v>
      </c>
      <c r="D1112" s="3">
        <v>482021</v>
      </c>
      <c r="E1112" s="3">
        <v>14809</v>
      </c>
      <c r="F1112" s="3">
        <v>26</v>
      </c>
      <c r="G1112" s="3" t="s">
        <v>1012</v>
      </c>
      <c r="H1112" s="3" t="str">
        <f ca="1">IFERROR(__xludf.DUMMYFUNCTION("GOOGLETRANSLATE(B1112,""auto"",""en"")"),"Coffee / cereal / Drink Mixes")</f>
        <v>Coffee / cereal / Drink Mixes</v>
      </c>
      <c r="I1112" s="3" t="str">
        <f ca="1">IFERROR(__xludf.DUMMYFUNCTION("GOOGLETRANSLATE(C1112,""auto"",""en"")"),"Tea")</f>
        <v>Tea</v>
      </c>
    </row>
    <row r="1113" spans="1:9" ht="13" x14ac:dyDescent="0.15">
      <c r="A1113" s="2" t="s">
        <v>1009</v>
      </c>
      <c r="B1113" s="2" t="s">
        <v>1110</v>
      </c>
      <c r="C1113" s="2" t="s">
        <v>1121</v>
      </c>
      <c r="D1113" s="3">
        <v>482021</v>
      </c>
      <c r="E1113" s="3">
        <v>14809</v>
      </c>
      <c r="F1113" s="3">
        <v>23</v>
      </c>
      <c r="G1113" s="3" t="s">
        <v>1012</v>
      </c>
      <c r="H1113" s="3" t="str">
        <f ca="1">IFERROR(__xludf.DUMMYFUNCTION("GOOGLETRANSLATE(B1113,""auto"",""en"")"),"Coffee / cereal / Drink Mixes")</f>
        <v>Coffee / cereal / Drink Mixes</v>
      </c>
      <c r="I1113" s="3" t="str">
        <f ca="1">IFERROR(__xludf.DUMMYFUNCTION("GOOGLETRANSLATE(C1113,""auto"",""en"")"),"tea")</f>
        <v>tea</v>
      </c>
    </row>
    <row r="1114" spans="1:9" ht="13" x14ac:dyDescent="0.15">
      <c r="A1114" s="2" t="s">
        <v>1009</v>
      </c>
      <c r="B1114" s="2" t="s">
        <v>1110</v>
      </c>
      <c r="C1114" s="2" t="s">
        <v>1122</v>
      </c>
      <c r="D1114" s="3">
        <v>482021</v>
      </c>
      <c r="E1114" s="3">
        <v>14809</v>
      </c>
      <c r="F1114" s="3">
        <v>9</v>
      </c>
      <c r="G1114" s="3" t="s">
        <v>1012</v>
      </c>
      <c r="H1114" s="3" t="str">
        <f ca="1">IFERROR(__xludf.DUMMYFUNCTION("GOOGLETRANSLATE(B1114,""auto"",""en"")"),"Coffee / cereal / Drink Mixes")</f>
        <v>Coffee / cereal / Drink Mixes</v>
      </c>
      <c r="I1114" s="3" t="str">
        <f ca="1">IFERROR(__xludf.DUMMYFUNCTION("GOOGLETRANSLATE(C1114,""auto"",""en"")"),"energetic drinks")</f>
        <v>energetic drinks</v>
      </c>
    </row>
    <row r="1115" spans="1:9" ht="13" x14ac:dyDescent="0.15">
      <c r="A1115" s="2" t="s">
        <v>1009</v>
      </c>
      <c r="B1115" s="2" t="s">
        <v>1110</v>
      </c>
      <c r="C1115" s="2" t="s">
        <v>1123</v>
      </c>
      <c r="D1115" s="3">
        <v>482021</v>
      </c>
      <c r="E1115" s="3">
        <v>14809</v>
      </c>
      <c r="F1115" s="3">
        <v>3</v>
      </c>
      <c r="G1115" s="3" t="s">
        <v>1012</v>
      </c>
      <c r="H1115" s="3" t="str">
        <f ca="1">IFERROR(__xludf.DUMMYFUNCTION("GOOGLETRANSLATE(B1115,""auto"",""en"")"),"Coffee / cereal / Drink Mixes")</f>
        <v>Coffee / cereal / Drink Mixes</v>
      </c>
      <c r="I1115" s="3" t="str">
        <f ca="1">IFERROR(__xludf.DUMMYFUNCTION("GOOGLETRANSLATE(C1115,""auto"",""en"")"),"Soy milk")</f>
        <v>Soy milk</v>
      </c>
    </row>
    <row r="1116" spans="1:9" ht="13" x14ac:dyDescent="0.15">
      <c r="A1116" s="2" t="s">
        <v>1009</v>
      </c>
      <c r="B1116" s="2" t="s">
        <v>1110</v>
      </c>
      <c r="C1116" s="2" t="s">
        <v>1124</v>
      </c>
      <c r="D1116" s="3">
        <v>482021</v>
      </c>
      <c r="E1116" s="3">
        <v>14809</v>
      </c>
      <c r="F1116" s="3">
        <v>2</v>
      </c>
      <c r="G1116" s="3" t="s">
        <v>1012</v>
      </c>
      <c r="H1116" s="3" t="str">
        <f ca="1">IFERROR(__xludf.DUMMYFUNCTION("GOOGLETRANSLATE(B1116,""auto"",""en"")"),"Coffee / cereal / Drink Mixes")</f>
        <v>Coffee / cereal / Drink Mixes</v>
      </c>
      <c r="I1116" s="3" t="str">
        <f ca="1">IFERROR(__xludf.DUMMYFUNCTION("GOOGLETRANSLATE(C1116,""auto"",""en"")"),"Cranberry powder")</f>
        <v>Cranberry powder</v>
      </c>
    </row>
    <row r="1117" spans="1:9" ht="13" x14ac:dyDescent="0.15">
      <c r="A1117" s="2" t="s">
        <v>1009</v>
      </c>
      <c r="B1117" s="2" t="s">
        <v>1110</v>
      </c>
      <c r="C1117" s="2" t="s">
        <v>1125</v>
      </c>
      <c r="D1117" s="3">
        <v>482021</v>
      </c>
      <c r="E1117" s="3">
        <v>14809</v>
      </c>
      <c r="F1117" s="3">
        <v>1</v>
      </c>
      <c r="G1117" s="3" t="s">
        <v>1012</v>
      </c>
      <c r="H1117" s="3" t="str">
        <f ca="1">IFERROR(__xludf.DUMMYFUNCTION("GOOGLETRANSLATE(B1117,""auto"",""en"")"),"Coffee / cereal / Drink Mixes")</f>
        <v>Coffee / cereal / Drink Mixes</v>
      </c>
      <c r="I1117" s="3" t="str">
        <f ca="1">IFERROR(__xludf.DUMMYFUNCTION("GOOGLETRANSLATE(C1117,""auto"",""en"")"),"Brewed into tea, juice")</f>
        <v>Brewed into tea, juice</v>
      </c>
    </row>
    <row r="1118" spans="1:9" ht="13" x14ac:dyDescent="0.15">
      <c r="A1118" s="2" t="s">
        <v>1009</v>
      </c>
      <c r="B1118" s="2" t="s">
        <v>1126</v>
      </c>
      <c r="C1118" s="2" t="s">
        <v>1127</v>
      </c>
      <c r="D1118" s="3">
        <v>482021</v>
      </c>
      <c r="E1118" s="3">
        <v>13093</v>
      </c>
      <c r="F1118" s="3">
        <v>9480</v>
      </c>
      <c r="G1118" s="3" t="s">
        <v>1012</v>
      </c>
      <c r="H1118" s="3" t="str">
        <f ca="1">IFERROR(__xludf.DUMMYFUNCTION("GOOGLETRANSLATE(B1118,""auto"",""en"")"),"Instant frozen")</f>
        <v>Instant frozen</v>
      </c>
      <c r="I1118" s="3" t="str">
        <f ca="1">IFERROR(__xludf.DUMMYFUNCTION("GOOGLETRANSLATE(C1118,""auto"",""en"")"),"Instant noodles")</f>
        <v>Instant noodles</v>
      </c>
    </row>
    <row r="1119" spans="1:9" ht="13" x14ac:dyDescent="0.15">
      <c r="A1119" s="2" t="s">
        <v>1009</v>
      </c>
      <c r="B1119" s="2" t="s">
        <v>1126</v>
      </c>
      <c r="C1119" s="2" t="s">
        <v>1128</v>
      </c>
      <c r="D1119" s="3">
        <v>482021</v>
      </c>
      <c r="E1119" s="3">
        <v>13093</v>
      </c>
      <c r="F1119" s="3">
        <v>1236</v>
      </c>
      <c r="G1119" s="3" t="s">
        <v>1012</v>
      </c>
      <c r="H1119" s="3" t="str">
        <f ca="1">IFERROR(__xludf.DUMMYFUNCTION("GOOGLETRANSLATE(B1119,""auto"",""en"")"),"Instant frozen")</f>
        <v>Instant frozen</v>
      </c>
      <c r="I1119" s="3" t="str">
        <f ca="1">IFERROR(__xludf.DUMMYFUNCTION("GOOGLETRANSLATE(C1119,""auto"",""en"")"),"pasta")</f>
        <v>pasta</v>
      </c>
    </row>
    <row r="1120" spans="1:9" ht="13" x14ac:dyDescent="0.15">
      <c r="A1120" s="2" t="s">
        <v>1009</v>
      </c>
      <c r="B1120" s="2" t="s">
        <v>1126</v>
      </c>
      <c r="C1120" s="2" t="s">
        <v>92</v>
      </c>
      <c r="D1120" s="3">
        <v>482021</v>
      </c>
      <c r="E1120" s="3">
        <v>13093</v>
      </c>
      <c r="F1120" s="3">
        <v>1230</v>
      </c>
      <c r="G1120" s="3" t="s">
        <v>1012</v>
      </c>
      <c r="H1120" s="3" t="str">
        <f ca="1">IFERROR(__xludf.DUMMYFUNCTION("GOOGLETRANSLATE(B1120,""auto"",""en"")"),"Instant frozen")</f>
        <v>Instant frozen</v>
      </c>
      <c r="I1120" s="3" t="str">
        <f ca="1">IFERROR(__xludf.DUMMYFUNCTION("GOOGLETRANSLATE(C1120,""auto"",""en"")"),"other")</f>
        <v>other</v>
      </c>
    </row>
    <row r="1121" spans="1:9" ht="13" x14ac:dyDescent="0.15">
      <c r="A1121" s="2" t="s">
        <v>1009</v>
      </c>
      <c r="B1121" s="2" t="s">
        <v>1126</v>
      </c>
      <c r="C1121" s="2" t="s">
        <v>1129</v>
      </c>
      <c r="D1121" s="3">
        <v>482021</v>
      </c>
      <c r="E1121" s="3">
        <v>13093</v>
      </c>
      <c r="F1121" s="3">
        <v>432</v>
      </c>
      <c r="G1121" s="3" t="s">
        <v>1012</v>
      </c>
      <c r="H1121" s="3" t="str">
        <f ca="1">IFERROR(__xludf.DUMMYFUNCTION("GOOGLETRANSLATE(B1121,""auto"",""en"")"),"Instant frozen")</f>
        <v>Instant frozen</v>
      </c>
      <c r="I1121" s="3" t="str">
        <f ca="1">IFERROR(__xludf.DUMMYFUNCTION("GOOGLETRANSLATE(C1121,""auto"",""en"")"),"Meat")</f>
        <v>Meat</v>
      </c>
    </row>
    <row r="1122" spans="1:9" ht="13" x14ac:dyDescent="0.15">
      <c r="A1122" s="2" t="s">
        <v>1009</v>
      </c>
      <c r="B1122" s="2" t="s">
        <v>1126</v>
      </c>
      <c r="C1122" s="2" t="s">
        <v>1130</v>
      </c>
      <c r="D1122" s="3">
        <v>482021</v>
      </c>
      <c r="E1122" s="3">
        <v>13093</v>
      </c>
      <c r="F1122" s="3">
        <v>291</v>
      </c>
      <c r="G1122" s="3" t="s">
        <v>1012</v>
      </c>
      <c r="H1122" s="3" t="str">
        <f ca="1">IFERROR(__xludf.DUMMYFUNCTION("GOOGLETRANSLATE(B1122,""auto"",""en"")"),"Instant frozen")</f>
        <v>Instant frozen</v>
      </c>
      <c r="I1122" s="3" t="str">
        <f ca="1">IFERROR(__xludf.DUMMYFUNCTION("GOOGLETRANSLATE(C1122,""auto"",""en"")"),"Ham")</f>
        <v>Ham</v>
      </c>
    </row>
    <row r="1123" spans="1:9" ht="13" x14ac:dyDescent="0.15">
      <c r="A1123" s="2" t="s">
        <v>1009</v>
      </c>
      <c r="B1123" s="2" t="s">
        <v>1126</v>
      </c>
      <c r="C1123" s="2" t="s">
        <v>1131</v>
      </c>
      <c r="D1123" s="3">
        <v>482021</v>
      </c>
      <c r="E1123" s="3">
        <v>13093</v>
      </c>
      <c r="F1123" s="3">
        <v>123</v>
      </c>
      <c r="G1123" s="3" t="s">
        <v>1012</v>
      </c>
      <c r="H1123" s="3" t="str">
        <f ca="1">IFERROR(__xludf.DUMMYFUNCTION("GOOGLETRANSLATE(B1123,""auto"",""en"")"),"Instant frozen")</f>
        <v>Instant frozen</v>
      </c>
      <c r="I1123" s="3" t="str">
        <f ca="1">IFERROR(__xludf.DUMMYFUNCTION("GOOGLETRANSLATE(C1123,""auto"",""en"")"),"Zongzi")</f>
        <v>Zongzi</v>
      </c>
    </row>
    <row r="1124" spans="1:9" ht="13" x14ac:dyDescent="0.15">
      <c r="A1124" s="2" t="s">
        <v>1009</v>
      </c>
      <c r="B1124" s="2" t="s">
        <v>1126</v>
      </c>
      <c r="C1124" s="2" t="s">
        <v>1132</v>
      </c>
      <c r="D1124" s="3">
        <v>482021</v>
      </c>
      <c r="E1124" s="3">
        <v>13093</v>
      </c>
      <c r="F1124" s="3">
        <v>110</v>
      </c>
      <c r="G1124" s="3" t="s">
        <v>1012</v>
      </c>
      <c r="H1124" s="3" t="str">
        <f ca="1">IFERROR(__xludf.DUMMYFUNCTION("GOOGLETRANSLATE(B1124,""auto"",""en"")"),"Instant frozen")</f>
        <v>Instant frozen</v>
      </c>
      <c r="I1124" s="3" t="str">
        <f ca="1">IFERROR(__xludf.DUMMYFUNCTION("GOOGLETRANSLATE(C1124,""auto"",""en"")"),"Canned Fruit")</f>
        <v>Canned Fruit</v>
      </c>
    </row>
    <row r="1125" spans="1:9" ht="13" x14ac:dyDescent="0.15">
      <c r="A1125" s="2" t="s">
        <v>1009</v>
      </c>
      <c r="B1125" s="2" t="s">
        <v>1126</v>
      </c>
      <c r="C1125" s="2" t="s">
        <v>1133</v>
      </c>
      <c r="D1125" s="3">
        <v>482021</v>
      </c>
      <c r="E1125" s="3">
        <v>13093</v>
      </c>
      <c r="F1125" s="3">
        <v>86</v>
      </c>
      <c r="G1125" s="3" t="s">
        <v>1012</v>
      </c>
      <c r="H1125" s="3" t="str">
        <f ca="1">IFERROR(__xludf.DUMMYFUNCTION("GOOGLETRANSLATE(B1125,""auto"",""en"")"),"Instant frozen")</f>
        <v>Instant frozen</v>
      </c>
      <c r="I1125" s="3" t="str">
        <f ca="1">IFERROR(__xludf.DUMMYFUNCTION("GOOGLETRANSLATE(C1125,""auto"",""en"")"),"Pasta / noodles (cook until noodles)")</f>
        <v>Pasta / noodles (cook until noodles)</v>
      </c>
    </row>
    <row r="1126" spans="1:9" ht="13" x14ac:dyDescent="0.15">
      <c r="A1126" s="2" t="s">
        <v>1009</v>
      </c>
      <c r="B1126" s="2" t="s">
        <v>1126</v>
      </c>
      <c r="C1126" s="2" t="s">
        <v>1134</v>
      </c>
      <c r="D1126" s="3">
        <v>482021</v>
      </c>
      <c r="E1126" s="3">
        <v>13093</v>
      </c>
      <c r="F1126" s="3">
        <v>64</v>
      </c>
      <c r="G1126" s="3" t="s">
        <v>1012</v>
      </c>
      <c r="H1126" s="3" t="str">
        <f ca="1">IFERROR(__xludf.DUMMYFUNCTION("GOOGLETRANSLATE(B1126,""auto"",""en"")"),"Instant frozen")</f>
        <v>Instant frozen</v>
      </c>
      <c r="I1126" s="3" t="str">
        <f ca="1">IFERROR(__xludf.DUMMYFUNCTION("GOOGLETRANSLATE(C1126,""auto"",""en"")"),"spaghetti")</f>
        <v>spaghetti</v>
      </c>
    </row>
    <row r="1127" spans="1:9" ht="13" x14ac:dyDescent="0.15">
      <c r="A1127" s="2" t="s">
        <v>1009</v>
      </c>
      <c r="B1127" s="2" t="s">
        <v>1126</v>
      </c>
      <c r="C1127" s="2" t="s">
        <v>1135</v>
      </c>
      <c r="D1127" s="3">
        <v>482021</v>
      </c>
      <c r="E1127" s="3">
        <v>13093</v>
      </c>
      <c r="F1127" s="3">
        <v>18</v>
      </c>
      <c r="G1127" s="3" t="s">
        <v>1012</v>
      </c>
      <c r="H1127" s="3" t="str">
        <f ca="1">IFERROR(__xludf.DUMMYFUNCTION("GOOGLETRANSLATE(B1127,""auto"",""en"")"),"Instant frozen")</f>
        <v>Instant frozen</v>
      </c>
      <c r="I1127" s="3" t="str">
        <f ca="1">IFERROR(__xludf.DUMMYFUNCTION("GOOGLETRANSLATE(C1127,""auto"",""en"")"),"Instant porridge")</f>
        <v>Instant porridge</v>
      </c>
    </row>
    <row r="1128" spans="1:9" ht="13" x14ac:dyDescent="0.15">
      <c r="A1128" s="2" t="s">
        <v>1009</v>
      </c>
      <c r="B1128" s="2" t="s">
        <v>1126</v>
      </c>
      <c r="C1128" s="2" t="s">
        <v>1136</v>
      </c>
      <c r="D1128" s="3">
        <v>482021</v>
      </c>
      <c r="E1128" s="3">
        <v>13093</v>
      </c>
      <c r="F1128" s="3">
        <v>14</v>
      </c>
      <c r="G1128" s="3" t="s">
        <v>1012</v>
      </c>
      <c r="H1128" s="3" t="str">
        <f ca="1">IFERROR(__xludf.DUMMYFUNCTION("GOOGLETRANSLATE(B1128,""auto"",""en"")"),"Instant frozen")</f>
        <v>Instant frozen</v>
      </c>
      <c r="I1128" s="3" t="str">
        <f ca="1">IFERROR(__xludf.DUMMYFUNCTION("GOOGLETRANSLATE(C1128,""auto"",""en"")"),"Bakery / deli / semi-finished products")</f>
        <v>Bakery / deli / semi-finished products</v>
      </c>
    </row>
    <row r="1129" spans="1:9" ht="13" x14ac:dyDescent="0.15">
      <c r="A1129" s="2" t="s">
        <v>1009</v>
      </c>
      <c r="B1129" s="2" t="s">
        <v>1126</v>
      </c>
      <c r="C1129" s="2" t="s">
        <v>1137</v>
      </c>
      <c r="D1129" s="3">
        <v>482021</v>
      </c>
      <c r="E1129" s="3">
        <v>13093</v>
      </c>
      <c r="F1129" s="3">
        <v>11</v>
      </c>
      <c r="G1129" s="3" t="s">
        <v>1012</v>
      </c>
      <c r="H1129" s="3" t="str">
        <f ca="1">IFERROR(__xludf.DUMMYFUNCTION("GOOGLETRANSLATE(B1129,""auto"",""en"")"),"Instant frozen")</f>
        <v>Instant frozen</v>
      </c>
      <c r="I1129" s="3" t="str">
        <f ca="1">IFERROR(__xludf.DUMMYFUNCTION("GOOGLETRANSLATE(C1129,""auto"",""en"")"),"Grim")</f>
        <v>Grim</v>
      </c>
    </row>
    <row r="1130" spans="1:9" ht="13" x14ac:dyDescent="0.15">
      <c r="A1130" s="2" t="s">
        <v>1009</v>
      </c>
      <c r="B1130" s="2" t="s">
        <v>1126</v>
      </c>
      <c r="C1130" s="2" t="s">
        <v>1138</v>
      </c>
      <c r="D1130" s="3">
        <v>482021</v>
      </c>
      <c r="E1130" s="3">
        <v>13093</v>
      </c>
      <c r="F1130" s="3">
        <v>4</v>
      </c>
      <c r="G1130" s="3" t="s">
        <v>1012</v>
      </c>
      <c r="H1130" s="3" t="str">
        <f ca="1">IFERROR(__xludf.DUMMYFUNCTION("GOOGLETRANSLATE(B1130,""auto"",""en"")"),"Instant frozen")</f>
        <v>Instant frozen</v>
      </c>
      <c r="I1130" s="3" t="str">
        <f ca="1">IFERROR(__xludf.DUMMYFUNCTION("GOOGLETRANSLATE(C1130,""auto"",""en"")"),"Instant Rice")</f>
        <v>Instant Rice</v>
      </c>
    </row>
    <row r="1131" spans="1:9" ht="13" x14ac:dyDescent="0.15">
      <c r="A1131" s="2" t="s">
        <v>1009</v>
      </c>
      <c r="B1131" s="2" t="s">
        <v>1126</v>
      </c>
      <c r="C1131" s="2" t="s">
        <v>1139</v>
      </c>
      <c r="D1131" s="3">
        <v>482021</v>
      </c>
      <c r="E1131" s="3">
        <v>13093</v>
      </c>
      <c r="F1131" s="3">
        <v>1</v>
      </c>
      <c r="G1131" s="3" t="s">
        <v>1012</v>
      </c>
      <c r="H1131" s="3" t="str">
        <f ca="1">IFERROR(__xludf.DUMMYFUNCTION("GOOGLETRANSLATE(B1131,""auto"",""en"")"),"Instant frozen")</f>
        <v>Instant frozen</v>
      </c>
      <c r="I1131" s="3" t="str">
        <f ca="1">IFERROR(__xludf.DUMMYFUNCTION("GOOGLETRANSLATE(C1131,""auto"",""en"")"),"Dumplings / ravioli")</f>
        <v>Dumplings / ravioli</v>
      </c>
    </row>
    <row r="1132" spans="1:9" ht="13" x14ac:dyDescent="0.15">
      <c r="A1132" s="2" t="s">
        <v>1009</v>
      </c>
      <c r="B1132" s="2" t="s">
        <v>1140</v>
      </c>
      <c r="C1132" s="2" t="s">
        <v>1141</v>
      </c>
      <c r="D1132" s="3">
        <v>482021</v>
      </c>
      <c r="E1132" s="3">
        <v>12507</v>
      </c>
      <c r="F1132" s="3">
        <v>8121</v>
      </c>
      <c r="G1132" s="3" t="s">
        <v>1012</v>
      </c>
      <c r="H1132" s="3" t="str">
        <f ca="1">IFERROR(__xludf.DUMMYFUNCTION("GOOGLETRANSLATE(B1132,""auto"",""en"")"),"Dry grain")</f>
        <v>Dry grain</v>
      </c>
      <c r="I1132" s="3" t="str">
        <f ca="1">IFERROR(__xludf.DUMMYFUNCTION("GOOGLETRANSLATE(C1132,""auto"",""en"")"),"Dry / native")</f>
        <v>Dry / native</v>
      </c>
    </row>
    <row r="1133" spans="1:9" ht="13" x14ac:dyDescent="0.15">
      <c r="A1133" s="2" t="s">
        <v>1009</v>
      </c>
      <c r="B1133" s="2" t="s">
        <v>1140</v>
      </c>
      <c r="C1133" s="2" t="s">
        <v>1142</v>
      </c>
      <c r="D1133" s="3">
        <v>482021</v>
      </c>
      <c r="E1133" s="3">
        <v>12507</v>
      </c>
      <c r="F1133" s="3">
        <v>2378</v>
      </c>
      <c r="G1133" s="3" t="s">
        <v>1012</v>
      </c>
      <c r="H1133" s="3" t="str">
        <f ca="1">IFERROR(__xludf.DUMMYFUNCTION("GOOGLETRANSLATE(B1133,""auto"",""en"")"),"Dry grain")</f>
        <v>Dry grain</v>
      </c>
      <c r="I1133" s="3" t="str">
        <f ca="1">IFERROR(__xludf.DUMMYFUNCTION("GOOGLETRANSLATE(C1133,""auto"",""en"")"),"Grains")</f>
        <v>Grains</v>
      </c>
    </row>
    <row r="1134" spans="1:9" ht="13" x14ac:dyDescent="0.15">
      <c r="A1134" s="2" t="s">
        <v>1009</v>
      </c>
      <c r="B1134" s="2" t="s">
        <v>1140</v>
      </c>
      <c r="C1134" s="2" t="s">
        <v>1143</v>
      </c>
      <c r="D1134" s="3">
        <v>482021</v>
      </c>
      <c r="E1134" s="3">
        <v>12507</v>
      </c>
      <c r="F1134" s="3">
        <v>546</v>
      </c>
      <c r="G1134" s="3" t="s">
        <v>1012</v>
      </c>
      <c r="H1134" s="3" t="str">
        <f ca="1">IFERROR(__xludf.DUMMYFUNCTION("GOOGLETRANSLATE(B1134,""auto"",""en"")"),"Dry grain")</f>
        <v>Dry grain</v>
      </c>
      <c r="I1134" s="3" t="str">
        <f ca="1">IFERROR(__xludf.DUMMYFUNCTION("GOOGLETRANSLATE(C1134,""auto"",""en"")"),"condiment")</f>
        <v>condiment</v>
      </c>
    </row>
    <row r="1135" spans="1:9" ht="13" x14ac:dyDescent="0.15">
      <c r="A1135" s="2" t="s">
        <v>1009</v>
      </c>
      <c r="B1135" s="2" t="s">
        <v>1140</v>
      </c>
      <c r="C1135" s="2" t="s">
        <v>1144</v>
      </c>
      <c r="D1135" s="3">
        <v>482021</v>
      </c>
      <c r="E1135" s="3">
        <v>12507</v>
      </c>
      <c r="F1135" s="3">
        <v>283</v>
      </c>
      <c r="G1135" s="3" t="s">
        <v>1012</v>
      </c>
      <c r="H1135" s="3" t="str">
        <f ca="1">IFERROR(__xludf.DUMMYFUNCTION("GOOGLETRANSLATE(B1135,""auto"",""en"")"),"Dry grain")</f>
        <v>Dry grain</v>
      </c>
      <c r="I1135" s="3" t="str">
        <f ca="1">IFERROR(__xludf.DUMMYFUNCTION("GOOGLETRANSLATE(C1135,""auto"",""en"")"),"Other RICE")</f>
        <v>Other RICE</v>
      </c>
    </row>
    <row r="1136" spans="1:9" ht="13" x14ac:dyDescent="0.15">
      <c r="A1136" s="2" t="s">
        <v>1009</v>
      </c>
      <c r="B1136" s="2" t="s">
        <v>1140</v>
      </c>
      <c r="C1136" s="2" t="s">
        <v>1145</v>
      </c>
      <c r="D1136" s="3">
        <v>482021</v>
      </c>
      <c r="E1136" s="3">
        <v>12507</v>
      </c>
      <c r="F1136" s="3">
        <v>208</v>
      </c>
      <c r="G1136" s="3" t="s">
        <v>1012</v>
      </c>
      <c r="H1136" s="3" t="str">
        <f ca="1">IFERROR(__xludf.DUMMYFUNCTION("GOOGLETRANSLATE(B1136,""auto"",""en"")"),"Dry grain")</f>
        <v>Dry grain</v>
      </c>
      <c r="I1136" s="3" t="str">
        <f ca="1">IFERROR(__xludf.DUMMYFUNCTION("GOOGLETRANSLATE(C1136,""auto"",""en"")"),"Dried fish / seafood")</f>
        <v>Dried fish / seafood</v>
      </c>
    </row>
    <row r="1137" spans="1:9" ht="13" x14ac:dyDescent="0.15">
      <c r="A1137" s="2" t="s">
        <v>1009</v>
      </c>
      <c r="B1137" s="2" t="s">
        <v>1140</v>
      </c>
      <c r="C1137" s="2" t="s">
        <v>1146</v>
      </c>
      <c r="D1137" s="3">
        <v>482021</v>
      </c>
      <c r="E1137" s="3">
        <v>12507</v>
      </c>
      <c r="F1137" s="3">
        <v>197</v>
      </c>
      <c r="G1137" s="3" t="s">
        <v>1012</v>
      </c>
      <c r="H1137" s="3" t="str">
        <f ca="1">IFERROR(__xludf.DUMMYFUNCTION("GOOGLETRANSLATE(B1137,""auto"",""en"")"),"Dry grain")</f>
        <v>Dry grain</v>
      </c>
      <c r="I1137" s="3" t="str">
        <f ca="1">IFERROR(__xludf.DUMMYFUNCTION("GOOGLETRANSLATE(C1137,""auto"",""en"")"),"Baking raw materials")</f>
        <v>Baking raw materials</v>
      </c>
    </row>
    <row r="1138" spans="1:9" ht="13" x14ac:dyDescent="0.15">
      <c r="A1138" s="2" t="s">
        <v>1009</v>
      </c>
      <c r="B1138" s="2" t="s">
        <v>1140</v>
      </c>
      <c r="C1138" s="2" t="s">
        <v>1147</v>
      </c>
      <c r="D1138" s="3">
        <v>482021</v>
      </c>
      <c r="E1138" s="3">
        <v>12507</v>
      </c>
      <c r="F1138" s="3">
        <v>145</v>
      </c>
      <c r="G1138" s="3" t="s">
        <v>1012</v>
      </c>
      <c r="H1138" s="3" t="str">
        <f ca="1">IFERROR(__xludf.DUMMYFUNCTION("GOOGLETRANSLATE(B1138,""auto"",""en"")"),"Dry grain")</f>
        <v>Dry grain</v>
      </c>
      <c r="I1138" s="3" t="str">
        <f ca="1">IFERROR(__xludf.DUMMYFUNCTION("GOOGLETRANSLATE(C1138,""auto"",""en"")"),"flour")</f>
        <v>flour</v>
      </c>
    </row>
    <row r="1139" spans="1:9" ht="13" x14ac:dyDescent="0.15">
      <c r="A1139" s="2" t="s">
        <v>1009</v>
      </c>
      <c r="B1139" s="2" t="s">
        <v>1140</v>
      </c>
      <c r="C1139" s="2" t="s">
        <v>1148</v>
      </c>
      <c r="D1139" s="3">
        <v>482021</v>
      </c>
      <c r="E1139" s="3">
        <v>12507</v>
      </c>
      <c r="F1139" s="3">
        <v>142</v>
      </c>
      <c r="G1139" s="3" t="s">
        <v>1012</v>
      </c>
      <c r="H1139" s="3" t="str">
        <f ca="1">IFERROR(__xludf.DUMMYFUNCTION("GOOGLETRANSLATE(B1139,""auto"",""en"")"),"Dry grain")</f>
        <v>Dry grain</v>
      </c>
      <c r="I1139" s="3" t="str">
        <f ca="1">IFERROR(__xludf.DUMMYFUNCTION("GOOGLETRANSLATE(C1139,""auto"",""en"")"),"Other dry food")</f>
        <v>Other dry food</v>
      </c>
    </row>
    <row r="1140" spans="1:9" ht="13" x14ac:dyDescent="0.15">
      <c r="A1140" s="2" t="s">
        <v>1009</v>
      </c>
      <c r="B1140" s="2" t="s">
        <v>1140</v>
      </c>
      <c r="C1140" s="2" t="s">
        <v>1149</v>
      </c>
      <c r="D1140" s="3">
        <v>482021</v>
      </c>
      <c r="E1140" s="3">
        <v>12507</v>
      </c>
      <c r="F1140" s="3">
        <v>91</v>
      </c>
      <c r="G1140" s="3" t="s">
        <v>1012</v>
      </c>
      <c r="H1140" s="3" t="str">
        <f ca="1">IFERROR(__xludf.DUMMYFUNCTION("GOOGLETRANSLATE(B1140,""auto"",""en"")"),"Dry grain")</f>
        <v>Dry grain</v>
      </c>
      <c r="I1140" s="3" t="str">
        <f ca="1">IFERROR(__xludf.DUMMYFUNCTION("GOOGLETRANSLATE(C1140,""auto"",""en"")"),"Walnut oil")</f>
        <v>Walnut oil</v>
      </c>
    </row>
    <row r="1141" spans="1:9" ht="13" x14ac:dyDescent="0.15">
      <c r="A1141" s="2" t="s">
        <v>1009</v>
      </c>
      <c r="B1141" s="2" t="s">
        <v>1140</v>
      </c>
      <c r="C1141" s="2" t="s">
        <v>1150</v>
      </c>
      <c r="D1141" s="3">
        <v>482021</v>
      </c>
      <c r="E1141" s="3">
        <v>12507</v>
      </c>
      <c r="F1141" s="3">
        <v>79</v>
      </c>
      <c r="G1141" s="3" t="s">
        <v>1012</v>
      </c>
      <c r="H1141" s="3" t="str">
        <f ca="1">IFERROR(__xludf.DUMMYFUNCTION("GOOGLETRANSLATE(B1141,""auto"",""en"")"),"Dry grain")</f>
        <v>Dry grain</v>
      </c>
      <c r="I1141" s="3" t="str">
        <f ca="1">IFERROR(__xludf.DUMMYFUNCTION("GOOGLETRANSLATE(C1141,""auto"",""en"")"),"Rapeseed oil")</f>
        <v>Rapeseed oil</v>
      </c>
    </row>
    <row r="1142" spans="1:9" ht="13" x14ac:dyDescent="0.15">
      <c r="A1142" s="2" t="s">
        <v>1009</v>
      </c>
      <c r="B1142" s="2" t="s">
        <v>1140</v>
      </c>
      <c r="C1142" s="2" t="s">
        <v>1151</v>
      </c>
      <c r="D1142" s="3">
        <v>482021</v>
      </c>
      <c r="E1142" s="3">
        <v>12507</v>
      </c>
      <c r="F1142" s="3">
        <v>79</v>
      </c>
      <c r="G1142" s="3" t="s">
        <v>1012</v>
      </c>
      <c r="H1142" s="3" t="str">
        <f ca="1">IFERROR(__xludf.DUMMYFUNCTION("GOOGLETRANSLATE(B1142,""auto"",""en"")"),"Dry grain")</f>
        <v>Dry grain</v>
      </c>
      <c r="I1142" s="3" t="str">
        <f ca="1">IFERROR(__xludf.DUMMYFUNCTION("GOOGLETRANSLATE(C1142,""auto"",""en"")"),"Other edible oil")</f>
        <v>Other edible oil</v>
      </c>
    </row>
    <row r="1143" spans="1:9" ht="13" x14ac:dyDescent="0.15">
      <c r="A1143" s="2" t="s">
        <v>1009</v>
      </c>
      <c r="B1143" s="2" t="s">
        <v>1140</v>
      </c>
      <c r="C1143" s="2" t="s">
        <v>1152</v>
      </c>
      <c r="D1143" s="3">
        <v>482021</v>
      </c>
      <c r="E1143" s="3">
        <v>12507</v>
      </c>
      <c r="F1143" s="3">
        <v>58</v>
      </c>
      <c r="G1143" s="3" t="s">
        <v>1012</v>
      </c>
      <c r="H1143" s="3" t="str">
        <f ca="1">IFERROR(__xludf.DUMMYFUNCTION("GOOGLETRANSLATE(B1143,""auto"",""en"")"),"Dry grain")</f>
        <v>Dry grain</v>
      </c>
      <c r="I1143" s="3" t="str">
        <f ca="1">IFERROR(__xludf.DUMMYFUNCTION("GOOGLETRANSLATE(C1143,""auto"",""en"")"),"Millet")</f>
        <v>Millet</v>
      </c>
    </row>
    <row r="1144" spans="1:9" ht="13" x14ac:dyDescent="0.15">
      <c r="A1144" s="2" t="s">
        <v>1009</v>
      </c>
      <c r="B1144" s="2" t="s">
        <v>1140</v>
      </c>
      <c r="C1144" s="2" t="s">
        <v>1153</v>
      </c>
      <c r="D1144" s="3">
        <v>482021</v>
      </c>
      <c r="E1144" s="3">
        <v>12507</v>
      </c>
      <c r="F1144" s="3">
        <v>43</v>
      </c>
      <c r="G1144" s="3" t="s">
        <v>1012</v>
      </c>
      <c r="H1144" s="3" t="str">
        <f ca="1">IFERROR(__xludf.DUMMYFUNCTION("GOOGLETRANSLATE(B1144,""auto"",""en"")"),"Dry grain")</f>
        <v>Dry grain</v>
      </c>
      <c r="I1144" s="3" t="str">
        <f ca="1">IFERROR(__xludf.DUMMYFUNCTION("GOOGLETRANSLATE(C1144,""auto"",""en"")"),"olive oil")</f>
        <v>olive oil</v>
      </c>
    </row>
    <row r="1145" spans="1:9" ht="13" x14ac:dyDescent="0.15">
      <c r="A1145" s="2" t="s">
        <v>1009</v>
      </c>
      <c r="B1145" s="2" t="s">
        <v>1140</v>
      </c>
      <c r="C1145" s="2" t="s">
        <v>1154</v>
      </c>
      <c r="D1145" s="3">
        <v>482021</v>
      </c>
      <c r="E1145" s="3">
        <v>12507</v>
      </c>
      <c r="F1145" s="3">
        <v>35</v>
      </c>
      <c r="G1145" s="3" t="s">
        <v>1012</v>
      </c>
      <c r="H1145" s="3" t="str">
        <f ca="1">IFERROR(__xludf.DUMMYFUNCTION("GOOGLETRANSLATE(B1145,""auto"",""en"")"),"Dry grain")</f>
        <v>Dry grain</v>
      </c>
      <c r="I1145" s="3" t="str">
        <f ca="1">IFERROR(__xludf.DUMMYFUNCTION("GOOGLETRANSLATE(C1145,""auto"",""en"")"),"sesame oil")</f>
        <v>sesame oil</v>
      </c>
    </row>
    <row r="1146" spans="1:9" ht="13" x14ac:dyDescent="0.15">
      <c r="A1146" s="2" t="s">
        <v>1009</v>
      </c>
      <c r="B1146" s="2" t="s">
        <v>1140</v>
      </c>
      <c r="C1146" s="2" t="s">
        <v>1155</v>
      </c>
      <c r="D1146" s="3">
        <v>482021</v>
      </c>
      <c r="E1146" s="3">
        <v>12507</v>
      </c>
      <c r="F1146" s="3">
        <v>28</v>
      </c>
      <c r="G1146" s="3" t="s">
        <v>1012</v>
      </c>
      <c r="H1146" s="3" t="str">
        <f ca="1">IFERROR(__xludf.DUMMYFUNCTION("GOOGLETRANSLATE(B1146,""auto"",""en"")"),"Dry grain")</f>
        <v>Dry grain</v>
      </c>
      <c r="I1146" s="3" t="str">
        <f ca="1">IFERROR(__xludf.DUMMYFUNCTION("GOOGLETRANSLATE(C1146,""auto"",""en"")"),"Barley")</f>
        <v>Barley</v>
      </c>
    </row>
    <row r="1147" spans="1:9" ht="13" x14ac:dyDescent="0.15">
      <c r="A1147" s="2" t="s">
        <v>1009</v>
      </c>
      <c r="B1147" s="2" t="s">
        <v>1140</v>
      </c>
      <c r="C1147" s="2" t="s">
        <v>1156</v>
      </c>
      <c r="D1147" s="3">
        <v>482021</v>
      </c>
      <c r="E1147" s="3">
        <v>12507</v>
      </c>
      <c r="F1147" s="3">
        <v>18</v>
      </c>
      <c r="G1147" s="3" t="s">
        <v>1012</v>
      </c>
      <c r="H1147" s="3" t="str">
        <f ca="1">IFERROR(__xludf.DUMMYFUNCTION("GOOGLETRANSLATE(B1147,""auto"",""en"")"),"Dry grain")</f>
        <v>Dry grain</v>
      </c>
      <c r="I1147" s="3" t="str">
        <f ca="1">IFERROR(__xludf.DUMMYFUNCTION("GOOGLETRANSLATE(C1147,""auto"",""en"")"),"Barley kernels")</f>
        <v>Barley kernels</v>
      </c>
    </row>
    <row r="1148" spans="1:9" ht="13" x14ac:dyDescent="0.15">
      <c r="A1148" s="2" t="s">
        <v>1009</v>
      </c>
      <c r="B1148" s="2" t="s">
        <v>1140</v>
      </c>
      <c r="C1148" s="2" t="s">
        <v>1157</v>
      </c>
      <c r="D1148" s="3">
        <v>482021</v>
      </c>
      <c r="E1148" s="3">
        <v>12507</v>
      </c>
      <c r="F1148" s="3">
        <v>18</v>
      </c>
      <c r="G1148" s="3" t="s">
        <v>1012</v>
      </c>
      <c r="H1148" s="3" t="str">
        <f ca="1">IFERROR(__xludf.DUMMYFUNCTION("GOOGLETRANSLATE(B1148,""auto"",""en"")"),"Dry grain")</f>
        <v>Dry grain</v>
      </c>
      <c r="I1148" s="3" t="str">
        <f ca="1">IFERROR(__xludf.DUMMYFUNCTION("GOOGLETRANSLATE(C1148,""auto"",""en"")"),"Cooking oil")</f>
        <v>Cooking oil</v>
      </c>
    </row>
    <row r="1149" spans="1:9" ht="13" x14ac:dyDescent="0.15">
      <c r="A1149" s="2" t="s">
        <v>1009</v>
      </c>
      <c r="B1149" s="2" t="s">
        <v>1140</v>
      </c>
      <c r="C1149" s="2" t="s">
        <v>1158</v>
      </c>
      <c r="D1149" s="3">
        <v>482021</v>
      </c>
      <c r="E1149" s="3">
        <v>12507</v>
      </c>
      <c r="F1149" s="3">
        <v>10</v>
      </c>
      <c r="G1149" s="3" t="s">
        <v>1012</v>
      </c>
      <c r="H1149" s="3" t="str">
        <f ca="1">IFERROR(__xludf.DUMMYFUNCTION("GOOGLETRANSLATE(B1149,""auto"",""en"")"),"Dry grain")</f>
        <v>Dry grain</v>
      </c>
      <c r="I1149" s="3" t="str">
        <f ca="1">IFERROR(__xludf.DUMMYFUNCTION("GOOGLETRANSLATE(C1149,""auto"",""en"")"),"black rice")</f>
        <v>black rice</v>
      </c>
    </row>
    <row r="1150" spans="1:9" ht="13" x14ac:dyDescent="0.15">
      <c r="A1150" s="2" t="s">
        <v>1009</v>
      </c>
      <c r="B1150" s="2" t="s">
        <v>1140</v>
      </c>
      <c r="C1150" s="2" t="s">
        <v>1159</v>
      </c>
      <c r="D1150" s="3">
        <v>482021</v>
      </c>
      <c r="E1150" s="3">
        <v>12507</v>
      </c>
      <c r="F1150" s="3">
        <v>8</v>
      </c>
      <c r="G1150" s="3" t="s">
        <v>1012</v>
      </c>
      <c r="H1150" s="3" t="str">
        <f ca="1">IFERROR(__xludf.DUMMYFUNCTION("GOOGLETRANSLATE(B1150,""auto"",""en"")"),"Dry grain")</f>
        <v>Dry grain</v>
      </c>
      <c r="I1150" s="3" t="str">
        <f ca="1">IFERROR(__xludf.DUMMYFUNCTION("GOOGLETRANSLATE(C1150,""auto"",""en"")"),"Pepper oil")</f>
        <v>Pepper oil</v>
      </c>
    </row>
    <row r="1151" spans="1:9" ht="13" x14ac:dyDescent="0.15">
      <c r="A1151" s="2" t="s">
        <v>1009</v>
      </c>
      <c r="B1151" s="2" t="s">
        <v>1140</v>
      </c>
      <c r="C1151" s="2" t="s">
        <v>1160</v>
      </c>
      <c r="D1151" s="3">
        <v>482021</v>
      </c>
      <c r="E1151" s="3">
        <v>12507</v>
      </c>
      <c r="F1151" s="3">
        <v>8</v>
      </c>
      <c r="G1151" s="3" t="s">
        <v>1012</v>
      </c>
      <c r="H1151" s="3" t="str">
        <f ca="1">IFERROR(__xludf.DUMMYFUNCTION("GOOGLETRANSLATE(B1151,""auto"",""en"")"),"Dry grain")</f>
        <v>Dry grain</v>
      </c>
      <c r="I1151" s="3" t="str">
        <f ca="1">IFERROR(__xludf.DUMMYFUNCTION("GOOGLETRANSLATE(C1151,""auto"",""en"")"),"brown rice")</f>
        <v>brown rice</v>
      </c>
    </row>
    <row r="1152" spans="1:9" ht="13" x14ac:dyDescent="0.15">
      <c r="A1152" s="2" t="s">
        <v>1009</v>
      </c>
      <c r="B1152" s="2" t="s">
        <v>1140</v>
      </c>
      <c r="C1152" s="2" t="s">
        <v>1161</v>
      </c>
      <c r="D1152" s="3">
        <v>482021</v>
      </c>
      <c r="E1152" s="3">
        <v>12507</v>
      </c>
      <c r="F1152" s="3">
        <v>4</v>
      </c>
      <c r="G1152" s="3" t="s">
        <v>1012</v>
      </c>
      <c r="H1152" s="3" t="str">
        <f ca="1">IFERROR(__xludf.DUMMYFUNCTION("GOOGLETRANSLATE(B1152,""auto"",""en"")"),"Dry grain")</f>
        <v>Dry grain</v>
      </c>
      <c r="I1152" s="3" t="str">
        <f ca="1">IFERROR(__xludf.DUMMYFUNCTION("GOOGLETRANSLATE(C1152,""auto"",""en"")"),"Sunflower seed oil")</f>
        <v>Sunflower seed oil</v>
      </c>
    </row>
    <row r="1153" spans="1:9" ht="13" x14ac:dyDescent="0.15">
      <c r="A1153" s="2" t="s">
        <v>1009</v>
      </c>
      <c r="B1153" s="2" t="s">
        <v>1140</v>
      </c>
      <c r="C1153" s="2" t="s">
        <v>1162</v>
      </c>
      <c r="D1153" s="3">
        <v>482021</v>
      </c>
      <c r="E1153" s="3">
        <v>12507</v>
      </c>
      <c r="F1153" s="3">
        <v>3</v>
      </c>
      <c r="G1153" s="3" t="s">
        <v>1012</v>
      </c>
      <c r="H1153" s="3" t="str">
        <f ca="1">IFERROR(__xludf.DUMMYFUNCTION("GOOGLETRANSLATE(B1153,""auto"",""en"")"),"Dry grain")</f>
        <v>Dry grain</v>
      </c>
      <c r="I1153" s="3" t="str">
        <f ca="1">IFERROR(__xludf.DUMMYFUNCTION("GOOGLETRANSLATE(C1153,""auto"",""en"")"),"sesame oil")</f>
        <v>sesame oil</v>
      </c>
    </row>
    <row r="1154" spans="1:9" ht="13" x14ac:dyDescent="0.15">
      <c r="A1154" s="2" t="s">
        <v>1009</v>
      </c>
      <c r="B1154" s="2" t="s">
        <v>1140</v>
      </c>
      <c r="C1154" s="2" t="s">
        <v>1163</v>
      </c>
      <c r="D1154" s="3">
        <v>482021</v>
      </c>
      <c r="E1154" s="3">
        <v>12507</v>
      </c>
      <c r="F1154" s="3">
        <v>3</v>
      </c>
      <c r="G1154" s="3" t="s">
        <v>1012</v>
      </c>
      <c r="H1154" s="3" t="str">
        <f ca="1">IFERROR(__xludf.DUMMYFUNCTION("GOOGLETRANSLATE(B1154,""auto"",""en"")"),"Dry grain")</f>
        <v>Dry grain</v>
      </c>
      <c r="I1154" s="3" t="str">
        <f ca="1">IFERROR(__xludf.DUMMYFUNCTION("GOOGLETRANSLATE(C1154,""auto"",""en"")"),"Camellia oil")</f>
        <v>Camellia oil</v>
      </c>
    </row>
    <row r="1155" spans="1:9" ht="13" x14ac:dyDescent="0.15">
      <c r="A1155" s="2" t="s">
        <v>1009</v>
      </c>
      <c r="B1155" s="2" t="s">
        <v>1140</v>
      </c>
      <c r="C1155" s="2" t="s">
        <v>1164</v>
      </c>
      <c r="D1155" s="3">
        <v>482021</v>
      </c>
      <c r="E1155" s="3">
        <v>12507</v>
      </c>
      <c r="F1155" s="3">
        <v>1</v>
      </c>
      <c r="G1155" s="3" t="s">
        <v>1012</v>
      </c>
      <c r="H1155" s="3" t="str">
        <f ca="1">IFERROR(__xludf.DUMMYFUNCTION("GOOGLETRANSLATE(B1155,""auto"",""en"")"),"Dry grain")</f>
        <v>Dry grain</v>
      </c>
      <c r="I1155" s="3" t="str">
        <f ca="1">IFERROR(__xludf.DUMMYFUNCTION("GOOGLETRANSLATE(C1155,""auto"",""en"")"),"Glutinous rice")</f>
        <v>Glutinous rice</v>
      </c>
    </row>
    <row r="1156" spans="1:9" ht="13" x14ac:dyDescent="0.15">
      <c r="A1156" s="2" t="s">
        <v>1009</v>
      </c>
      <c r="B1156" s="2" t="s">
        <v>1140</v>
      </c>
      <c r="C1156" s="2" t="s">
        <v>1165</v>
      </c>
      <c r="D1156" s="3">
        <v>482021</v>
      </c>
      <c r="E1156" s="3">
        <v>12507</v>
      </c>
      <c r="F1156" s="3">
        <v>1</v>
      </c>
      <c r="G1156" s="3" t="s">
        <v>1012</v>
      </c>
      <c r="H1156" s="3" t="str">
        <f ca="1">IFERROR(__xludf.DUMMYFUNCTION("GOOGLETRANSLATE(B1156,""auto"",""en"")"),"Dry grain")</f>
        <v>Dry grain</v>
      </c>
      <c r="I1156" s="3" t="str">
        <f ca="1">IFERROR(__xludf.DUMMYFUNCTION("GOOGLETRANSLATE(C1156,""auto"",""en"")"),"Peanut oil")</f>
        <v>Peanut oil</v>
      </c>
    </row>
    <row r="1157" spans="1:9" ht="13" x14ac:dyDescent="0.15">
      <c r="A1157" s="2" t="s">
        <v>1009</v>
      </c>
      <c r="B1157" s="2" t="s">
        <v>1166</v>
      </c>
      <c r="C1157" s="2" t="s">
        <v>1167</v>
      </c>
      <c r="D1157" s="3">
        <v>482021</v>
      </c>
      <c r="E1157" s="3">
        <v>7712</v>
      </c>
      <c r="F1157" s="3">
        <v>1296</v>
      </c>
      <c r="G1157" s="3" t="s">
        <v>1012</v>
      </c>
      <c r="H1157" s="3" t="str">
        <f ca="1">IFERROR(__xludf.DUMMYFUNCTION("GOOGLETRANSLATE(B1157,""auto"",""en"")"),"Candy / Chocolate / dry milk")</f>
        <v>Candy / Chocolate / dry milk</v>
      </c>
      <c r="I1157" s="3" t="str">
        <f ca="1">IFERROR(__xludf.DUMMYFUNCTION("GOOGLETRANSLATE(C1157,""auto"",""en"")"),"Milk tablets")</f>
        <v>Milk tablets</v>
      </c>
    </row>
    <row r="1158" spans="1:9" ht="13" x14ac:dyDescent="0.15">
      <c r="A1158" s="2" t="s">
        <v>1009</v>
      </c>
      <c r="B1158" s="2" t="s">
        <v>1166</v>
      </c>
      <c r="C1158" s="2" t="s">
        <v>1168</v>
      </c>
      <c r="D1158" s="3">
        <v>482021</v>
      </c>
      <c r="E1158" s="3">
        <v>7712</v>
      </c>
      <c r="F1158" s="3">
        <v>1213</v>
      </c>
      <c r="G1158" s="3" t="s">
        <v>1012</v>
      </c>
      <c r="H1158" s="3" t="str">
        <f ca="1">IFERROR(__xludf.DUMMYFUNCTION("GOOGLETRANSLATE(B1158,""auto"",""en"")"),"Candy / Chocolate / dry milk")</f>
        <v>Candy / Chocolate / dry milk</v>
      </c>
      <c r="I1158" s="3" t="str">
        <f ca="1">IFERROR(__xludf.DUMMYFUNCTION("GOOGLETRANSLATE(C1158,""auto"",""en"")"),"fructose")</f>
        <v>fructose</v>
      </c>
    </row>
    <row r="1159" spans="1:9" ht="13" x14ac:dyDescent="0.15">
      <c r="A1159" s="2" t="s">
        <v>1009</v>
      </c>
      <c r="B1159" s="2" t="s">
        <v>1166</v>
      </c>
      <c r="C1159" s="2" t="s">
        <v>1169</v>
      </c>
      <c r="D1159" s="3">
        <v>482021</v>
      </c>
      <c r="E1159" s="3">
        <v>7712</v>
      </c>
      <c r="F1159" s="3">
        <v>1146</v>
      </c>
      <c r="G1159" s="3" t="s">
        <v>1012</v>
      </c>
      <c r="H1159" s="3" t="str">
        <f ca="1">IFERROR(__xludf.DUMMYFUNCTION("GOOGLETRANSLATE(B1159,""auto"",""en"")"),"Candy / Chocolate / dry milk")</f>
        <v>Candy / Chocolate / dry milk</v>
      </c>
      <c r="I1159" s="3" t="str">
        <f ca="1">IFERROR(__xludf.DUMMYFUNCTION("GOOGLETRANSLATE(C1159,""auto"",""en"")"),"cheese")</f>
        <v>cheese</v>
      </c>
    </row>
    <row r="1160" spans="1:9" ht="13" x14ac:dyDescent="0.15">
      <c r="A1160" s="2" t="s">
        <v>1009</v>
      </c>
      <c r="B1160" s="2" t="s">
        <v>1166</v>
      </c>
      <c r="C1160" s="2" t="s">
        <v>92</v>
      </c>
      <c r="D1160" s="3">
        <v>482021</v>
      </c>
      <c r="E1160" s="3">
        <v>7712</v>
      </c>
      <c r="F1160" s="3">
        <v>999</v>
      </c>
      <c r="G1160" s="3" t="s">
        <v>1012</v>
      </c>
      <c r="H1160" s="3" t="str">
        <f ca="1">IFERROR(__xludf.DUMMYFUNCTION("GOOGLETRANSLATE(B1160,""auto"",""en"")"),"Candy / Chocolate / dry milk")</f>
        <v>Candy / Chocolate / dry milk</v>
      </c>
      <c r="I1160" s="3" t="str">
        <f ca="1">IFERROR(__xludf.DUMMYFUNCTION("GOOGLETRANSLATE(C1160,""auto"",""en"")"),"other")</f>
        <v>other</v>
      </c>
    </row>
    <row r="1161" spans="1:9" ht="13" x14ac:dyDescent="0.15">
      <c r="A1161" s="2" t="s">
        <v>1009</v>
      </c>
      <c r="B1161" s="2" t="s">
        <v>1166</v>
      </c>
      <c r="C1161" s="2" t="s">
        <v>1170</v>
      </c>
      <c r="D1161" s="3">
        <v>482021</v>
      </c>
      <c r="E1161" s="3">
        <v>7712</v>
      </c>
      <c r="F1161" s="3">
        <v>989</v>
      </c>
      <c r="G1161" s="3" t="s">
        <v>1012</v>
      </c>
      <c r="H1161" s="3" t="str">
        <f ca="1">IFERROR(__xludf.DUMMYFUNCTION("GOOGLETRANSLATE(B1161,""auto"",""en"")"),"Candy / Chocolate / dry milk")</f>
        <v>Candy / Chocolate / dry milk</v>
      </c>
      <c r="I1161" s="3" t="str">
        <f ca="1">IFERROR(__xludf.DUMMYFUNCTION("GOOGLETRANSLATE(C1161,""auto"",""en"")"),"chocolate")</f>
        <v>chocolate</v>
      </c>
    </row>
    <row r="1162" spans="1:9" ht="13" x14ac:dyDescent="0.15">
      <c r="A1162" s="2" t="s">
        <v>1009</v>
      </c>
      <c r="B1162" s="2" t="s">
        <v>1166</v>
      </c>
      <c r="C1162" s="2" t="s">
        <v>1171</v>
      </c>
      <c r="D1162" s="3">
        <v>482021</v>
      </c>
      <c r="E1162" s="3">
        <v>7712</v>
      </c>
      <c r="F1162" s="3">
        <v>918</v>
      </c>
      <c r="G1162" s="3" t="s">
        <v>1012</v>
      </c>
      <c r="H1162" s="3" t="str">
        <f ca="1">IFERROR(__xludf.DUMMYFUNCTION("GOOGLETRANSLATE(B1162,""auto"",""en"")"),"Candy / Chocolate / dry milk")</f>
        <v>Candy / Chocolate / dry milk</v>
      </c>
      <c r="I1162" s="3" t="str">
        <f ca="1">IFERROR(__xludf.DUMMYFUNCTION("GOOGLETRANSLATE(C1162,""auto"",""en"")"),"Lollipop")</f>
        <v>Lollipop</v>
      </c>
    </row>
    <row r="1163" spans="1:9" ht="13" x14ac:dyDescent="0.15">
      <c r="A1163" s="2" t="s">
        <v>1009</v>
      </c>
      <c r="B1163" s="2" t="s">
        <v>1166</v>
      </c>
      <c r="C1163" s="2" t="s">
        <v>1172</v>
      </c>
      <c r="D1163" s="3">
        <v>482021</v>
      </c>
      <c r="E1163" s="3">
        <v>7712</v>
      </c>
      <c r="F1163" s="3">
        <v>594</v>
      </c>
      <c r="G1163" s="3" t="s">
        <v>1012</v>
      </c>
      <c r="H1163" s="3" t="str">
        <f ca="1">IFERROR(__xludf.DUMMYFUNCTION("GOOGLETRANSLATE(B1163,""auto"",""en"")"),"Candy / Chocolate / dry milk")</f>
        <v>Candy / Chocolate / dry milk</v>
      </c>
      <c r="I1163" s="3" t="str">
        <f ca="1">IFERROR(__xludf.DUMMYFUNCTION("GOOGLETRANSLATE(C1163,""auto"",""en"")"),"toffee")</f>
        <v>toffee</v>
      </c>
    </row>
    <row r="1164" spans="1:9" ht="13" x14ac:dyDescent="0.15">
      <c r="A1164" s="2" t="s">
        <v>1009</v>
      </c>
      <c r="B1164" s="2" t="s">
        <v>1166</v>
      </c>
      <c r="C1164" s="2" t="s">
        <v>1173</v>
      </c>
      <c r="D1164" s="3">
        <v>482021</v>
      </c>
      <c r="E1164" s="3">
        <v>7712</v>
      </c>
      <c r="F1164" s="3">
        <v>304</v>
      </c>
      <c r="G1164" s="3" t="s">
        <v>1012</v>
      </c>
      <c r="H1164" s="3" t="str">
        <f ca="1">IFERROR(__xludf.DUMMYFUNCTION("GOOGLETRANSLATE(B1164,""auto"",""en"")"),"Candy / Chocolate / dry milk")</f>
        <v>Candy / Chocolate / dry milk</v>
      </c>
      <c r="I1164" s="3" t="str">
        <f ca="1">IFERROR(__xludf.DUMMYFUNCTION("GOOGLETRANSLATE(C1164,""auto"",""en"")"),"Jelly / Pudding")</f>
        <v>Jelly / Pudding</v>
      </c>
    </row>
    <row r="1165" spans="1:9" ht="13" x14ac:dyDescent="0.15">
      <c r="A1165" s="2" t="s">
        <v>1009</v>
      </c>
      <c r="B1165" s="2" t="s">
        <v>1166</v>
      </c>
      <c r="C1165" s="2" t="s">
        <v>1174</v>
      </c>
      <c r="D1165" s="3">
        <v>482021</v>
      </c>
      <c r="E1165" s="3">
        <v>7712</v>
      </c>
      <c r="F1165" s="3">
        <v>234</v>
      </c>
      <c r="G1165" s="3" t="s">
        <v>1012</v>
      </c>
      <c r="H1165" s="3" t="str">
        <f ca="1">IFERROR(__xludf.DUMMYFUNCTION("GOOGLETRANSLATE(B1165,""auto"",""en"")"),"Candy / Chocolate / dry milk")</f>
        <v>Candy / Chocolate / dry milk</v>
      </c>
      <c r="I1165" s="3" t="str">
        <f ca="1">IFERROR(__xludf.DUMMYFUNCTION("GOOGLETRANSLATE(C1165,""auto"",""en"")"),"chewing gum")</f>
        <v>chewing gum</v>
      </c>
    </row>
    <row r="1166" spans="1:9" ht="13" x14ac:dyDescent="0.15">
      <c r="A1166" s="2" t="s">
        <v>1009</v>
      </c>
      <c r="B1166" s="2" t="s">
        <v>1166</v>
      </c>
      <c r="C1166" s="2" t="s">
        <v>1175</v>
      </c>
      <c r="D1166" s="3">
        <v>482021</v>
      </c>
      <c r="E1166" s="3">
        <v>7712</v>
      </c>
      <c r="F1166" s="3">
        <v>19</v>
      </c>
      <c r="G1166" s="3" t="s">
        <v>1012</v>
      </c>
      <c r="H1166" s="3" t="str">
        <f ca="1">IFERROR(__xludf.DUMMYFUNCTION("GOOGLETRANSLATE(B1166,""auto"",""en"")"),"Candy / Chocolate / dry milk")</f>
        <v>Candy / Chocolate / dry milk</v>
      </c>
      <c r="I1166" s="3" t="str">
        <f ca="1">IFERROR(__xludf.DUMMYFUNCTION("GOOGLETRANSLATE(C1166,""auto"",""en"")"),"Dry milk")</f>
        <v>Dry milk</v>
      </c>
    </row>
    <row r="1167" spans="1:9" ht="13" x14ac:dyDescent="0.15">
      <c r="A1167" s="2" t="s">
        <v>1009</v>
      </c>
      <c r="B1167" s="2" t="s">
        <v>1176</v>
      </c>
      <c r="C1167" s="2" t="s">
        <v>1177</v>
      </c>
      <c r="D1167" s="3">
        <v>482021</v>
      </c>
      <c r="E1167" s="3">
        <v>6250</v>
      </c>
      <c r="F1167" s="3">
        <v>5876</v>
      </c>
      <c r="G1167" s="3" t="s">
        <v>1012</v>
      </c>
      <c r="H1167" s="3" t="str">
        <f ca="1">IFERROR(__xludf.DUMMYFUNCTION("GOOGLETRANSLATE(B1167,""auto"",""en"")"),"tea")</f>
        <v>tea</v>
      </c>
      <c r="I1167" s="3" t="str">
        <f ca="1">IFERROR(__xludf.DUMMYFUNCTION("GOOGLETRANSLATE(C1167,""auto"",""en"")"),"Flowers / fruit / tea reprocessing")</f>
        <v>Flowers / fruit / tea reprocessing</v>
      </c>
    </row>
    <row r="1168" spans="1:9" ht="13" x14ac:dyDescent="0.15">
      <c r="A1168" s="2" t="s">
        <v>1009</v>
      </c>
      <c r="B1168" s="2" t="s">
        <v>1176</v>
      </c>
      <c r="C1168" s="2" t="s">
        <v>92</v>
      </c>
      <c r="D1168" s="3">
        <v>482021</v>
      </c>
      <c r="E1168" s="3">
        <v>6250</v>
      </c>
      <c r="F1168" s="3">
        <v>179</v>
      </c>
      <c r="G1168" s="3" t="s">
        <v>1012</v>
      </c>
      <c r="H1168" s="3" t="str">
        <f ca="1">IFERROR(__xludf.DUMMYFUNCTION("GOOGLETRANSLATE(B1168,""auto"",""en"")"),"tea")</f>
        <v>tea</v>
      </c>
      <c r="I1168" s="3" t="str">
        <f ca="1">IFERROR(__xludf.DUMMYFUNCTION("GOOGLETRANSLATE(C1168,""auto"",""en"")"),"other")</f>
        <v>other</v>
      </c>
    </row>
    <row r="1169" spans="1:9" ht="13" x14ac:dyDescent="0.15">
      <c r="A1169" s="2" t="s">
        <v>1009</v>
      </c>
      <c r="B1169" s="2" t="s">
        <v>1176</v>
      </c>
      <c r="C1169" s="2" t="s">
        <v>1178</v>
      </c>
      <c r="D1169" s="3">
        <v>482021</v>
      </c>
      <c r="E1169" s="3">
        <v>6250</v>
      </c>
      <c r="F1169" s="3">
        <v>94</v>
      </c>
      <c r="G1169" s="3" t="s">
        <v>1012</v>
      </c>
      <c r="H1169" s="3" t="str">
        <f ca="1">IFERROR(__xludf.DUMMYFUNCTION("GOOGLETRANSLATE(B1169,""auto"",""en"")"),"tea")</f>
        <v>tea</v>
      </c>
      <c r="I1169" s="3" t="str">
        <f ca="1">IFERROR(__xludf.DUMMYFUNCTION("GOOGLETRANSLATE(C1169,""auto"",""en"")"),"green tea")</f>
        <v>green tea</v>
      </c>
    </row>
    <row r="1170" spans="1:9" ht="13" x14ac:dyDescent="0.15">
      <c r="A1170" s="2" t="s">
        <v>1009</v>
      </c>
      <c r="B1170" s="2" t="s">
        <v>1176</v>
      </c>
      <c r="C1170" s="2" t="s">
        <v>1179</v>
      </c>
      <c r="D1170" s="3">
        <v>482021</v>
      </c>
      <c r="E1170" s="3">
        <v>6250</v>
      </c>
      <c r="F1170" s="3">
        <v>61</v>
      </c>
      <c r="G1170" s="3" t="s">
        <v>1012</v>
      </c>
      <c r="H1170" s="3" t="str">
        <f ca="1">IFERROR(__xludf.DUMMYFUNCTION("GOOGLETRANSLATE(B1170,""auto"",""en"")"),"tea")</f>
        <v>tea</v>
      </c>
      <c r="I1170" s="3" t="str">
        <f ca="1">IFERROR(__xludf.DUMMYFUNCTION("GOOGLETRANSLATE(C1170,""auto"",""en"")"),"Oolong tea")</f>
        <v>Oolong tea</v>
      </c>
    </row>
    <row r="1171" spans="1:9" ht="13" x14ac:dyDescent="0.15">
      <c r="A1171" s="2" t="s">
        <v>1009</v>
      </c>
      <c r="B1171" s="2" t="s">
        <v>1176</v>
      </c>
      <c r="C1171" s="2" t="s">
        <v>1180</v>
      </c>
      <c r="D1171" s="3">
        <v>482021</v>
      </c>
      <c r="E1171" s="3">
        <v>6250</v>
      </c>
      <c r="F1171" s="3">
        <v>22</v>
      </c>
      <c r="G1171" s="3" t="s">
        <v>1012</v>
      </c>
      <c r="H1171" s="3" t="str">
        <f ca="1">IFERROR(__xludf.DUMMYFUNCTION("GOOGLETRANSLATE(B1171,""auto"",""en"")"),"tea")</f>
        <v>tea</v>
      </c>
      <c r="I1171" s="3" t="str">
        <f ca="1">IFERROR(__xludf.DUMMYFUNCTION("GOOGLETRANSLATE(C1171,""auto"",""en"")"),"Pu'er")</f>
        <v>Pu'er</v>
      </c>
    </row>
    <row r="1172" spans="1:9" ht="13" x14ac:dyDescent="0.15">
      <c r="A1172" s="2" t="s">
        <v>1009</v>
      </c>
      <c r="B1172" s="2" t="s">
        <v>1176</v>
      </c>
      <c r="C1172" s="2" t="s">
        <v>1181</v>
      </c>
      <c r="D1172" s="3">
        <v>482021</v>
      </c>
      <c r="E1172" s="3">
        <v>6250</v>
      </c>
      <c r="F1172" s="3">
        <v>18</v>
      </c>
      <c r="G1172" s="3" t="s">
        <v>1012</v>
      </c>
      <c r="H1172" s="3" t="str">
        <f ca="1">IFERROR(__xludf.DUMMYFUNCTION("GOOGLETRANSLATE(B1172,""auto"",""en"")"),"tea")</f>
        <v>tea</v>
      </c>
      <c r="I1172" s="3" t="str">
        <f ca="1">IFERROR(__xludf.DUMMYFUNCTION("GOOGLETRANSLATE(C1172,""auto"",""en"")"),"black tea")</f>
        <v>black tea</v>
      </c>
    </row>
    <row r="1173" spans="1:9" ht="13" x14ac:dyDescent="0.15">
      <c r="A1173" s="2" t="s">
        <v>1009</v>
      </c>
      <c r="B1173" s="2" t="s">
        <v>1182</v>
      </c>
      <c r="C1173" s="2" t="s">
        <v>1183</v>
      </c>
      <c r="D1173" s="3">
        <v>482021</v>
      </c>
      <c r="E1173" s="3">
        <v>3481</v>
      </c>
      <c r="F1173" s="3">
        <v>3115</v>
      </c>
      <c r="G1173" s="3" t="s">
        <v>1012</v>
      </c>
      <c r="H1173" s="3" t="str">
        <f ca="1">IFERROR(__xludf.DUMMYFUNCTION("GOOGLETRANSLATE(B1173,""auto"",""en"")"),"Sauces / Baking Ingredients")</f>
        <v>Sauces / Baking Ingredients</v>
      </c>
      <c r="I1173" s="3" t="str">
        <f ca="1">IFERROR(__xludf.DUMMYFUNCTION("GOOGLETRANSLATE(C1173,""auto"",""en"")"),"Seasoning sauce")</f>
        <v>Seasoning sauce</v>
      </c>
    </row>
    <row r="1174" spans="1:9" ht="13" x14ac:dyDescent="0.15">
      <c r="A1174" s="2" t="s">
        <v>1009</v>
      </c>
      <c r="B1174" s="2" t="s">
        <v>1182</v>
      </c>
      <c r="C1174" s="2" t="s">
        <v>1184</v>
      </c>
      <c r="D1174" s="3">
        <v>482021</v>
      </c>
      <c r="E1174" s="3">
        <v>3481</v>
      </c>
      <c r="F1174" s="3">
        <v>98</v>
      </c>
      <c r="G1174" s="3" t="s">
        <v>1012</v>
      </c>
      <c r="H1174" s="3" t="str">
        <f ca="1">IFERROR(__xludf.DUMMYFUNCTION("GOOGLETRANSLATE(B1174,""auto"",""en"")"),"Sauces / Baking Ingredients")</f>
        <v>Sauces / Baking Ingredients</v>
      </c>
      <c r="I1174" s="3" t="str">
        <f ca="1">IFERROR(__xludf.DUMMYFUNCTION("GOOGLETRANSLATE(C1174,""auto"",""en"")"),"soy sauce")</f>
        <v>soy sauce</v>
      </c>
    </row>
    <row r="1175" spans="1:9" ht="13" x14ac:dyDescent="0.15">
      <c r="A1175" s="2" t="s">
        <v>1009</v>
      </c>
      <c r="B1175" s="2" t="s">
        <v>1182</v>
      </c>
      <c r="C1175" s="2" t="s">
        <v>1185</v>
      </c>
      <c r="D1175" s="3">
        <v>482021</v>
      </c>
      <c r="E1175" s="3">
        <v>3481</v>
      </c>
      <c r="F1175" s="3">
        <v>58</v>
      </c>
      <c r="G1175" s="3" t="s">
        <v>1012</v>
      </c>
      <c r="H1175" s="3" t="str">
        <f ca="1">IFERROR(__xludf.DUMMYFUNCTION("GOOGLETRANSLATE(B1175,""auto"",""en"")"),"Sauces / Baking Ingredients")</f>
        <v>Sauces / Baking Ingredients</v>
      </c>
      <c r="I1175" s="3" t="str">
        <f ca="1">IFERROR(__xludf.DUMMYFUNCTION("GOOGLETRANSLATE(C1175,""auto"",""en"")"),"Sugar")</f>
        <v>Sugar</v>
      </c>
    </row>
    <row r="1176" spans="1:9" ht="13" x14ac:dyDescent="0.15">
      <c r="A1176" s="2" t="s">
        <v>1009</v>
      </c>
      <c r="B1176" s="2" t="s">
        <v>1182</v>
      </c>
      <c r="C1176" s="2" t="s">
        <v>1186</v>
      </c>
      <c r="D1176" s="3">
        <v>482021</v>
      </c>
      <c r="E1176" s="3">
        <v>3481</v>
      </c>
      <c r="F1176" s="3">
        <v>52</v>
      </c>
      <c r="G1176" s="3" t="s">
        <v>1012</v>
      </c>
      <c r="H1176" s="3" t="str">
        <f ca="1">IFERROR(__xludf.DUMMYFUNCTION("GOOGLETRANSLATE(B1176,""auto"",""en"")"),"Sauces / Baking Ingredients")</f>
        <v>Sauces / Baking Ingredients</v>
      </c>
      <c r="I1176" s="3" t="str">
        <f ca="1">IFERROR(__xludf.DUMMYFUNCTION("GOOGLETRANSLATE(C1176,""auto"",""en"")"),"Food Additives")</f>
        <v>Food Additives</v>
      </c>
    </row>
    <row r="1177" spans="1:9" ht="13" x14ac:dyDescent="0.15">
      <c r="A1177" s="2" t="s">
        <v>1009</v>
      </c>
      <c r="B1177" s="2" t="s">
        <v>1182</v>
      </c>
      <c r="C1177" s="2" t="s">
        <v>1187</v>
      </c>
      <c r="D1177" s="3">
        <v>482021</v>
      </c>
      <c r="E1177" s="3">
        <v>3481</v>
      </c>
      <c r="F1177" s="3">
        <v>49</v>
      </c>
      <c r="G1177" s="3" t="s">
        <v>1012</v>
      </c>
      <c r="H1177" s="3" t="str">
        <f ca="1">IFERROR(__xludf.DUMMYFUNCTION("GOOGLETRANSLATE(B1177,""auto"",""en"")"),"Sauces / Baking Ingredients")</f>
        <v>Sauces / Baking Ingredients</v>
      </c>
      <c r="I1177" s="3" t="str">
        <f ca="1">IFERROR(__xludf.DUMMYFUNCTION("GOOGLETRANSLATE(C1177,""auto"",""en"")"),"chili sauce")</f>
        <v>chili sauce</v>
      </c>
    </row>
    <row r="1178" spans="1:9" ht="13" x14ac:dyDescent="0.15">
      <c r="A1178" s="2" t="s">
        <v>1009</v>
      </c>
      <c r="B1178" s="2" t="s">
        <v>1182</v>
      </c>
      <c r="C1178" s="2" t="s">
        <v>92</v>
      </c>
      <c r="D1178" s="3">
        <v>482021</v>
      </c>
      <c r="E1178" s="3">
        <v>3481</v>
      </c>
      <c r="F1178" s="3">
        <v>29</v>
      </c>
      <c r="G1178" s="3" t="s">
        <v>1012</v>
      </c>
      <c r="H1178" s="3" t="str">
        <f ca="1">IFERROR(__xludf.DUMMYFUNCTION("GOOGLETRANSLATE(B1178,""auto"",""en"")"),"Sauces / Baking Ingredients")</f>
        <v>Sauces / Baking Ingredients</v>
      </c>
      <c r="I1178" s="3" t="str">
        <f ca="1">IFERROR(__xludf.DUMMYFUNCTION("GOOGLETRANSLATE(C1178,""auto"",""en"")"),"other")</f>
        <v>other</v>
      </c>
    </row>
    <row r="1179" spans="1:9" ht="13" x14ac:dyDescent="0.15">
      <c r="A1179" s="2" t="s">
        <v>1009</v>
      </c>
      <c r="B1179" s="2" t="s">
        <v>1182</v>
      </c>
      <c r="C1179" s="2" t="s">
        <v>1188</v>
      </c>
      <c r="D1179" s="3">
        <v>482021</v>
      </c>
      <c r="E1179" s="3">
        <v>3481</v>
      </c>
      <c r="F1179" s="3">
        <v>27</v>
      </c>
      <c r="G1179" s="3" t="s">
        <v>1012</v>
      </c>
      <c r="H1179" s="3" t="str">
        <f ca="1">IFERROR(__xludf.DUMMYFUNCTION("GOOGLETRANSLATE(B1179,""auto"",""en"")"),"Sauces / Baking Ingredients")</f>
        <v>Sauces / Baking Ingredients</v>
      </c>
      <c r="I1179" s="3" t="str">
        <f ca="1">IFERROR(__xludf.DUMMYFUNCTION("GOOGLETRANSLATE(C1179,""auto"",""en"")"),"ketchup")</f>
        <v>ketchup</v>
      </c>
    </row>
    <row r="1180" spans="1:9" ht="13" x14ac:dyDescent="0.15">
      <c r="A1180" s="2" t="s">
        <v>1009</v>
      </c>
      <c r="B1180" s="2" t="s">
        <v>1182</v>
      </c>
      <c r="C1180" s="2" t="s">
        <v>1189</v>
      </c>
      <c r="D1180" s="3">
        <v>482021</v>
      </c>
      <c r="E1180" s="3">
        <v>3481</v>
      </c>
      <c r="F1180" s="3">
        <v>18</v>
      </c>
      <c r="G1180" s="3" t="s">
        <v>1012</v>
      </c>
      <c r="H1180" s="3" t="str">
        <f ca="1">IFERROR(__xludf.DUMMYFUNCTION("GOOGLETRANSLATE(B1180,""auto"",""en"")"),"Sauces / Baking Ingredients")</f>
        <v>Sauces / Baking Ingredients</v>
      </c>
      <c r="I1180" s="3" t="str">
        <f ca="1">IFERROR(__xludf.DUMMYFUNCTION("GOOGLETRANSLATE(C1180,""auto"",""en"")"),"Hot sauce")</f>
        <v>Hot sauce</v>
      </c>
    </row>
    <row r="1181" spans="1:9" ht="13" x14ac:dyDescent="0.15">
      <c r="A1181" s="2" t="s">
        <v>1009</v>
      </c>
      <c r="B1181" s="2" t="s">
        <v>1182</v>
      </c>
      <c r="C1181" s="2" t="s">
        <v>1190</v>
      </c>
      <c r="D1181" s="3">
        <v>482021</v>
      </c>
      <c r="E1181" s="3">
        <v>3481</v>
      </c>
      <c r="F1181" s="3">
        <v>6</v>
      </c>
      <c r="G1181" s="3" t="s">
        <v>1012</v>
      </c>
      <c r="H1181" s="3" t="str">
        <f ca="1">IFERROR(__xludf.DUMMYFUNCTION("GOOGLETRANSLATE(B1181,""auto"",""en"")"),"Sauces / Baking Ingredients")</f>
        <v>Sauces / Baking Ingredients</v>
      </c>
      <c r="I1181" s="3" t="str">
        <f ca="1">IFERROR(__xludf.DUMMYFUNCTION("GOOGLETRANSLATE(C1181,""auto"",""en"")"),"Spices like pepper")</f>
        <v>Spices like pepper</v>
      </c>
    </row>
    <row r="1182" spans="1:9" ht="13" x14ac:dyDescent="0.15">
      <c r="A1182" s="2" t="s">
        <v>1009</v>
      </c>
      <c r="B1182" s="2" t="s">
        <v>1182</v>
      </c>
      <c r="C1182" s="2" t="s">
        <v>1191</v>
      </c>
      <c r="D1182" s="3">
        <v>482021</v>
      </c>
      <c r="E1182" s="3">
        <v>3481</v>
      </c>
      <c r="F1182" s="3">
        <v>6</v>
      </c>
      <c r="G1182" s="3" t="s">
        <v>1012</v>
      </c>
      <c r="H1182" s="3" t="str">
        <f ca="1">IFERROR(__xludf.DUMMYFUNCTION("GOOGLETRANSLATE(B1182,""auto"",""en"")"),"Sauces / Baking Ingredients")</f>
        <v>Sauces / Baking Ingredients</v>
      </c>
      <c r="I1182" s="3" t="str">
        <f ca="1">IFERROR(__xludf.DUMMYFUNCTION("GOOGLETRANSLATE(C1182,""auto"",""en"")"),"Vinegar products")</f>
        <v>Vinegar products</v>
      </c>
    </row>
    <row r="1183" spans="1:9" ht="13" x14ac:dyDescent="0.15">
      <c r="A1183" s="2" t="s">
        <v>1009</v>
      </c>
      <c r="B1183" s="2" t="s">
        <v>1182</v>
      </c>
      <c r="C1183" s="2" t="s">
        <v>1192</v>
      </c>
      <c r="D1183" s="3">
        <v>482021</v>
      </c>
      <c r="E1183" s="3">
        <v>3481</v>
      </c>
      <c r="F1183" s="3">
        <v>6</v>
      </c>
      <c r="G1183" s="3" t="s">
        <v>1012</v>
      </c>
      <c r="H1183" s="3" t="str">
        <f ca="1">IFERROR(__xludf.DUMMYFUNCTION("GOOGLETRANSLATE(B1183,""auto"",""en"")"),"Sauces / Baking Ingredients")</f>
        <v>Sauces / Baking Ingredients</v>
      </c>
      <c r="I1183" s="3" t="str">
        <f ca="1">IFERROR(__xludf.DUMMYFUNCTION("GOOGLETRANSLATE(C1183,""auto"",""en"")"),"Bean paste")</f>
        <v>Bean paste</v>
      </c>
    </row>
    <row r="1184" spans="1:9" ht="13" x14ac:dyDescent="0.15">
      <c r="A1184" s="2" t="s">
        <v>1009</v>
      </c>
      <c r="B1184" s="2" t="s">
        <v>1182</v>
      </c>
      <c r="C1184" s="2" t="s">
        <v>1193</v>
      </c>
      <c r="D1184" s="3">
        <v>482021</v>
      </c>
      <c r="E1184" s="3">
        <v>3481</v>
      </c>
      <c r="F1184" s="3">
        <v>5</v>
      </c>
      <c r="G1184" s="3" t="s">
        <v>1012</v>
      </c>
      <c r="H1184" s="3" t="str">
        <f ca="1">IFERROR(__xludf.DUMMYFUNCTION("GOOGLETRANSLATE(B1184,""auto"",""en"")"),"Sauces / Baking Ingredients")</f>
        <v>Sauces / Baking Ingredients</v>
      </c>
      <c r="I1184" s="3" t="str">
        <f ca="1">IFERROR(__xludf.DUMMYFUNCTION("GOOGLETRANSLATE(C1184,""auto"",""en"")"),"Barbecue sauce")</f>
        <v>Barbecue sauce</v>
      </c>
    </row>
    <row r="1185" spans="1:9" ht="13" x14ac:dyDescent="0.15">
      <c r="A1185" s="2" t="s">
        <v>1009</v>
      </c>
      <c r="B1185" s="2" t="s">
        <v>1182</v>
      </c>
      <c r="C1185" s="2" t="s">
        <v>1194</v>
      </c>
      <c r="D1185" s="3">
        <v>482021</v>
      </c>
      <c r="E1185" s="3">
        <v>3481</v>
      </c>
      <c r="F1185" s="3">
        <v>5</v>
      </c>
      <c r="G1185" s="3" t="s">
        <v>1012</v>
      </c>
      <c r="H1185" s="3" t="str">
        <f ca="1">IFERROR(__xludf.DUMMYFUNCTION("GOOGLETRANSLATE(B1185,""auto"",""en"")"),"Sauces / Baking Ingredients")</f>
        <v>Sauces / Baking Ingredients</v>
      </c>
      <c r="I1185" s="3" t="str">
        <f ca="1">IFERROR(__xludf.DUMMYFUNCTION("GOOGLETRANSLATE(C1185,""auto"",""en"")"),"jam")</f>
        <v>jam</v>
      </c>
    </row>
    <row r="1186" spans="1:9" ht="13" x14ac:dyDescent="0.15">
      <c r="A1186" s="2" t="s">
        <v>1009</v>
      </c>
      <c r="B1186" s="2" t="s">
        <v>1182</v>
      </c>
      <c r="C1186" s="2" t="s">
        <v>1146</v>
      </c>
      <c r="D1186" s="3">
        <v>482021</v>
      </c>
      <c r="E1186" s="3">
        <v>3481</v>
      </c>
      <c r="F1186" s="3">
        <v>4</v>
      </c>
      <c r="G1186" s="3" t="s">
        <v>1012</v>
      </c>
      <c r="H1186" s="3" t="str">
        <f ca="1">IFERROR(__xludf.DUMMYFUNCTION("GOOGLETRANSLATE(B1186,""auto"",""en"")"),"Sauces / Baking Ingredients")</f>
        <v>Sauces / Baking Ingredients</v>
      </c>
      <c r="I1186" s="3" t="str">
        <f ca="1">IFERROR(__xludf.DUMMYFUNCTION("GOOGLETRANSLATE(C1186,""auto"",""en"")"),"Baking raw materials")</f>
        <v>Baking raw materials</v>
      </c>
    </row>
    <row r="1187" spans="1:9" ht="13" x14ac:dyDescent="0.15">
      <c r="A1187" s="2" t="s">
        <v>1009</v>
      </c>
      <c r="B1187" s="2" t="s">
        <v>1182</v>
      </c>
      <c r="C1187" s="2" t="s">
        <v>1195</v>
      </c>
      <c r="D1187" s="3">
        <v>482021</v>
      </c>
      <c r="E1187" s="3">
        <v>3481</v>
      </c>
      <c r="F1187" s="3">
        <v>2</v>
      </c>
      <c r="G1187" s="3" t="s">
        <v>1012</v>
      </c>
      <c r="H1187" s="3" t="str">
        <f ca="1">IFERROR(__xludf.DUMMYFUNCTION("GOOGLETRANSLATE(B1187,""auto"",""en"")"),"Sauces / Baking Ingredients")</f>
        <v>Sauces / Baking Ingredients</v>
      </c>
      <c r="I1187" s="3" t="str">
        <f ca="1">IFERROR(__xludf.DUMMYFUNCTION("GOOGLETRANSLATE(C1187,""auto"",""en"")"),"Cooking wine")</f>
        <v>Cooking wine</v>
      </c>
    </row>
    <row r="1188" spans="1:9" ht="13" x14ac:dyDescent="0.15">
      <c r="A1188" s="2" t="s">
        <v>1009</v>
      </c>
      <c r="B1188" s="2" t="s">
        <v>1182</v>
      </c>
      <c r="C1188" s="2" t="s">
        <v>1182</v>
      </c>
      <c r="D1188" s="3">
        <v>482021</v>
      </c>
      <c r="E1188" s="3">
        <v>3481</v>
      </c>
      <c r="F1188" s="3">
        <v>1</v>
      </c>
      <c r="G1188" s="3" t="s">
        <v>1012</v>
      </c>
      <c r="H1188" s="3" t="str">
        <f ca="1">IFERROR(__xludf.DUMMYFUNCTION("GOOGLETRANSLATE(B1188,""auto"",""en"")"),"Sauces / Baking Ingredients")</f>
        <v>Sauces / Baking Ingredients</v>
      </c>
      <c r="I1188" s="3" t="str">
        <f ca="1">IFERROR(__xludf.DUMMYFUNCTION("GOOGLETRANSLATE(C1188,""auto"",""en"")"),"Sauces / Baking Ingredients")</f>
        <v>Sauces / Baking Ingredients</v>
      </c>
    </row>
    <row r="1189" spans="1:9" ht="13" x14ac:dyDescent="0.15">
      <c r="A1189" s="2" t="s">
        <v>1009</v>
      </c>
      <c r="B1189" s="2" t="s">
        <v>1196</v>
      </c>
      <c r="C1189" s="2" t="s">
        <v>1197</v>
      </c>
      <c r="D1189" s="3">
        <v>482021</v>
      </c>
      <c r="E1189" s="3">
        <v>2837</v>
      </c>
      <c r="F1189" s="3">
        <v>1734</v>
      </c>
      <c r="G1189" s="3" t="s">
        <v>1012</v>
      </c>
      <c r="H1189" s="3" t="str">
        <f ca="1">IFERROR(__xludf.DUMMYFUNCTION("GOOGLETRANSLATE(B1189,""auto"",""en"")"),"Dairy")</f>
        <v>Dairy</v>
      </c>
      <c r="I1189" s="3" t="str">
        <f ca="1">IFERROR(__xludf.DUMMYFUNCTION("GOOGLETRANSLATE(C1189,""auto"",""en"")"),"Dairy drinks")</f>
        <v>Dairy drinks</v>
      </c>
    </row>
    <row r="1190" spans="1:9" ht="13" x14ac:dyDescent="0.15">
      <c r="A1190" s="2" t="s">
        <v>1009</v>
      </c>
      <c r="B1190" s="2" t="s">
        <v>1196</v>
      </c>
      <c r="C1190" s="2" t="s">
        <v>1198</v>
      </c>
      <c r="D1190" s="3">
        <v>482021</v>
      </c>
      <c r="E1190" s="3">
        <v>2837</v>
      </c>
      <c r="F1190" s="3">
        <v>611</v>
      </c>
      <c r="G1190" s="3" t="s">
        <v>1012</v>
      </c>
      <c r="H1190" s="3" t="str">
        <f ca="1">IFERROR(__xludf.DUMMYFUNCTION("GOOGLETRANSLATE(B1190,""auto"",""en"")"),"Dairy")</f>
        <v>Dairy</v>
      </c>
      <c r="I1190" s="3" t="str">
        <f ca="1">IFERROR(__xludf.DUMMYFUNCTION("GOOGLETRANSLATE(C1190,""auto"",""en"")"),"Milk drinks")</f>
        <v>Milk drinks</v>
      </c>
    </row>
    <row r="1191" spans="1:9" ht="13" x14ac:dyDescent="0.15">
      <c r="A1191" s="2" t="s">
        <v>1009</v>
      </c>
      <c r="B1191" s="2" t="s">
        <v>1196</v>
      </c>
      <c r="C1191" s="2" t="s">
        <v>1199</v>
      </c>
      <c r="D1191" s="3">
        <v>482021</v>
      </c>
      <c r="E1191" s="3">
        <v>2837</v>
      </c>
      <c r="F1191" s="3">
        <v>388</v>
      </c>
      <c r="G1191" s="3" t="s">
        <v>1012</v>
      </c>
      <c r="H1191" s="3" t="str">
        <f ca="1">IFERROR(__xludf.DUMMYFUNCTION("GOOGLETRANSLATE(B1191,""auto"",""en"")"),"Dairy")</f>
        <v>Dairy</v>
      </c>
      <c r="I1191" s="3" t="str">
        <f ca="1">IFERROR(__xludf.DUMMYFUNCTION("GOOGLETRANSLATE(C1191,""auto"",""en"")"),"milk")</f>
        <v>milk</v>
      </c>
    </row>
    <row r="1192" spans="1:9" ht="13" x14ac:dyDescent="0.15">
      <c r="A1192" s="2" t="s">
        <v>1009</v>
      </c>
      <c r="B1192" s="2" t="s">
        <v>1196</v>
      </c>
      <c r="C1192" s="2" t="s">
        <v>1200</v>
      </c>
      <c r="D1192" s="3">
        <v>482021</v>
      </c>
      <c r="E1192" s="3">
        <v>2837</v>
      </c>
      <c r="F1192" s="3">
        <v>104</v>
      </c>
      <c r="G1192" s="3" t="s">
        <v>1012</v>
      </c>
      <c r="H1192" s="3" t="str">
        <f ca="1">IFERROR(__xludf.DUMMYFUNCTION("GOOGLETRANSLATE(B1192,""auto"",""en"")"),"Dairy")</f>
        <v>Dairy</v>
      </c>
      <c r="I1192" s="3" t="str">
        <f ca="1">IFERROR(__xludf.DUMMYFUNCTION("GOOGLETRANSLATE(C1192,""auto"",""en"")"),"Yogurt")</f>
        <v>Yogurt</v>
      </c>
    </row>
    <row r="1193" spans="1:9" ht="13" x14ac:dyDescent="0.15">
      <c r="A1193" s="2" t="s">
        <v>1009</v>
      </c>
      <c r="B1193" s="2" t="s">
        <v>1201</v>
      </c>
      <c r="C1193" s="2" t="s">
        <v>1202</v>
      </c>
      <c r="D1193" s="3">
        <v>482021</v>
      </c>
      <c r="E1193" s="3">
        <v>1762</v>
      </c>
      <c r="F1193" s="3">
        <v>1078</v>
      </c>
      <c r="G1193" s="3" t="s">
        <v>1012</v>
      </c>
      <c r="H1193" s="3" t="str">
        <f ca="1">IFERROR(__xludf.DUMMYFUNCTION("GOOGLETRANSLATE(B1193,""auto"",""en"")"),"Squid silk / dried fish / seafood instant")</f>
        <v>Squid silk / dried fish / seafood instant</v>
      </c>
      <c r="I1193" s="3" t="str">
        <f ca="1">IFERROR(__xludf.DUMMYFUNCTION("GOOGLETRANSLATE(C1193,""auto"",""en"")"),"That fish-eating snacks")</f>
        <v>That fish-eating snacks</v>
      </c>
    </row>
    <row r="1194" spans="1:9" ht="13" x14ac:dyDescent="0.15">
      <c r="A1194" s="2" t="s">
        <v>1009</v>
      </c>
      <c r="B1194" s="2" t="s">
        <v>1201</v>
      </c>
      <c r="C1194" s="2" t="s">
        <v>1203</v>
      </c>
      <c r="D1194" s="3">
        <v>482021</v>
      </c>
      <c r="E1194" s="3">
        <v>1762</v>
      </c>
      <c r="F1194" s="3">
        <v>405</v>
      </c>
      <c r="G1194" s="3" t="s">
        <v>1012</v>
      </c>
      <c r="H1194" s="3" t="str">
        <f ca="1">IFERROR(__xludf.DUMMYFUNCTION("GOOGLETRANSLATE(B1194,""auto"",""en"")"),"Squid silk / dried fish / seafood instant")</f>
        <v>Squid silk / dried fish / seafood instant</v>
      </c>
      <c r="I1194" s="3" t="str">
        <f ca="1">IFERROR(__xludf.DUMMYFUNCTION("GOOGLETRANSLATE(C1194,""auto"",""en"")"),"Seaweed snack")</f>
        <v>Seaweed snack</v>
      </c>
    </row>
    <row r="1195" spans="1:9" ht="13" x14ac:dyDescent="0.15">
      <c r="A1195" s="2" t="s">
        <v>1009</v>
      </c>
      <c r="B1195" s="2" t="s">
        <v>1201</v>
      </c>
      <c r="C1195" s="2" t="s">
        <v>1204</v>
      </c>
      <c r="D1195" s="3">
        <v>482021</v>
      </c>
      <c r="E1195" s="3">
        <v>1762</v>
      </c>
      <c r="F1195" s="3">
        <v>148</v>
      </c>
      <c r="G1195" s="3" t="s">
        <v>1012</v>
      </c>
      <c r="H1195" s="3" t="str">
        <f ca="1">IFERROR(__xludf.DUMMYFUNCTION("GOOGLETRANSLATE(B1195,""auto"",""en"")"),"Squid silk / dried fish / seafood instant")</f>
        <v>Squid silk / dried fish / seafood instant</v>
      </c>
      <c r="I1195" s="3" t="str">
        <f ca="1">IFERROR(__xludf.DUMMYFUNCTION("GOOGLETRANSLATE(C1195,""auto"",""en"")"),"Seaweed Series")</f>
        <v>Seaweed Series</v>
      </c>
    </row>
    <row r="1196" spans="1:9" ht="13" x14ac:dyDescent="0.15">
      <c r="A1196" s="2" t="s">
        <v>1009</v>
      </c>
      <c r="B1196" s="2" t="s">
        <v>1201</v>
      </c>
      <c r="C1196" s="2" t="s">
        <v>1205</v>
      </c>
      <c r="D1196" s="3">
        <v>482021</v>
      </c>
      <c r="E1196" s="3">
        <v>1762</v>
      </c>
      <c r="F1196" s="3">
        <v>43</v>
      </c>
      <c r="G1196" s="3" t="s">
        <v>1012</v>
      </c>
      <c r="H1196" s="3" t="str">
        <f ca="1">IFERROR(__xludf.DUMMYFUNCTION("GOOGLETRANSLATE(B1196,""auto"",""en"")"),"Squid silk / dried fish / seafood instant")</f>
        <v>Squid silk / dried fish / seafood instant</v>
      </c>
      <c r="I1196" s="3" t="str">
        <f ca="1">IFERROR(__xludf.DUMMYFUNCTION("GOOGLETRANSLATE(C1196,""auto"",""en"")"),"That fish-eating squid snacks")</f>
        <v>That fish-eating squid snacks</v>
      </c>
    </row>
    <row r="1197" spans="1:9" ht="13" x14ac:dyDescent="0.15">
      <c r="A1197" s="2" t="s">
        <v>1009</v>
      </c>
      <c r="B1197" s="2" t="s">
        <v>1201</v>
      </c>
      <c r="C1197" s="2" t="s">
        <v>1206</v>
      </c>
      <c r="D1197" s="3">
        <v>482021</v>
      </c>
      <c r="E1197" s="3">
        <v>1762</v>
      </c>
      <c r="F1197" s="3">
        <v>41</v>
      </c>
      <c r="G1197" s="3" t="s">
        <v>1012</v>
      </c>
      <c r="H1197" s="3" t="str">
        <f ca="1">IFERROR(__xludf.DUMMYFUNCTION("GOOGLETRANSLATE(B1197,""auto"",""en"")"),"Squid silk / dried fish / seafood instant")</f>
        <v>Squid silk / dried fish / seafood instant</v>
      </c>
      <c r="I1197" s="3" t="str">
        <f ca="1">IFERROR(__xludf.DUMMYFUNCTION("GOOGLETRANSLATE(C1197,""auto"",""en"")"),"Pui series")</f>
        <v>Pui series</v>
      </c>
    </row>
    <row r="1198" spans="1:9" ht="13" x14ac:dyDescent="0.15">
      <c r="A1198" s="2" t="s">
        <v>1009</v>
      </c>
      <c r="B1198" s="2" t="s">
        <v>1201</v>
      </c>
      <c r="C1198" s="2" t="s">
        <v>1207</v>
      </c>
      <c r="D1198" s="3">
        <v>482021</v>
      </c>
      <c r="E1198" s="3">
        <v>1762</v>
      </c>
      <c r="F1198" s="3">
        <v>36</v>
      </c>
      <c r="G1198" s="3" t="s">
        <v>1012</v>
      </c>
      <c r="H1198" s="3" t="str">
        <f ca="1">IFERROR(__xludf.DUMMYFUNCTION("GOOGLETRANSLATE(B1198,""auto"",""en"")"),"Squid silk / dried fish / seafood instant")</f>
        <v>Squid silk / dried fish / seafood instant</v>
      </c>
      <c r="I1198" s="3" t="str">
        <f ca="1">IFERROR(__xludf.DUMMYFUNCTION("GOOGLETRANSLATE(C1198,""auto"",""en"")"),"other series")</f>
        <v>other series</v>
      </c>
    </row>
    <row r="1199" spans="1:9" ht="13" x14ac:dyDescent="0.15">
      <c r="A1199" s="2" t="s">
        <v>1009</v>
      </c>
      <c r="B1199" s="2" t="s">
        <v>1201</v>
      </c>
      <c r="C1199" s="2" t="s">
        <v>1208</v>
      </c>
      <c r="D1199" s="3">
        <v>482021</v>
      </c>
      <c r="E1199" s="3">
        <v>1762</v>
      </c>
      <c r="F1199" s="3">
        <v>6</v>
      </c>
      <c r="G1199" s="3" t="s">
        <v>1012</v>
      </c>
      <c r="H1199" s="3" t="str">
        <f ca="1">IFERROR(__xludf.DUMMYFUNCTION("GOOGLETRANSLATE(B1199,""auto"",""en"")"),"Squid silk / dried fish / seafood instant")</f>
        <v>Squid silk / dried fish / seafood instant</v>
      </c>
      <c r="I1199" s="3" t="str">
        <f ca="1">IFERROR(__xludf.DUMMYFUNCTION("GOOGLETRANSLATE(C1199,""auto"",""en"")"),"Crab Series")</f>
        <v>Crab Series</v>
      </c>
    </row>
    <row r="1200" spans="1:9" ht="13" x14ac:dyDescent="0.15">
      <c r="A1200" s="2" t="s">
        <v>1009</v>
      </c>
      <c r="B1200" s="2" t="s">
        <v>1201</v>
      </c>
      <c r="C1200" s="2" t="s">
        <v>1209</v>
      </c>
      <c r="D1200" s="3">
        <v>482021</v>
      </c>
      <c r="E1200" s="3">
        <v>1762</v>
      </c>
      <c r="F1200" s="3">
        <v>5</v>
      </c>
      <c r="G1200" s="3" t="s">
        <v>1012</v>
      </c>
      <c r="H1200" s="3" t="str">
        <f ca="1">IFERROR(__xludf.DUMMYFUNCTION("GOOGLETRANSLATE(B1200,""auto"",""en"")"),"Squid silk / dried fish / seafood instant")</f>
        <v>Squid silk / dried fish / seafood instant</v>
      </c>
      <c r="I1200" s="3" t="str">
        <f ca="1">IFERROR(__xludf.DUMMYFUNCTION("GOOGLETRANSLATE(C1200,""auto"",""en"")"),"Instant Shrimp Snacks")</f>
        <v>Instant Shrimp Snacks</v>
      </c>
    </row>
    <row r="1201" spans="1:9" ht="13" x14ac:dyDescent="0.15">
      <c r="A1201" s="2" t="s">
        <v>1009</v>
      </c>
      <c r="B1201" s="2" t="s">
        <v>1210</v>
      </c>
      <c r="C1201" s="2" t="s">
        <v>1211</v>
      </c>
      <c r="D1201" s="3">
        <v>482021</v>
      </c>
      <c r="E1201" s="3">
        <v>827</v>
      </c>
      <c r="F1201" s="3">
        <v>774</v>
      </c>
      <c r="G1201" s="3" t="s">
        <v>1012</v>
      </c>
      <c r="H1201" s="3" t="str">
        <f ca="1">IFERROR(__xludf.DUMMYFUNCTION("GOOGLETRANSLATE(B1201,""auto"",""en"")"),"Liquor")</f>
        <v>Liquor</v>
      </c>
      <c r="I1201" s="3" t="str">
        <f ca="1">IFERROR(__xludf.DUMMYFUNCTION("GOOGLETRANSLATE(C1201,""auto"",""en"")"),"Wine / wine")</f>
        <v>Wine / wine</v>
      </c>
    </row>
    <row r="1202" spans="1:9" ht="13" x14ac:dyDescent="0.15">
      <c r="A1202" s="2" t="s">
        <v>1009</v>
      </c>
      <c r="B1202" s="2" t="s">
        <v>1210</v>
      </c>
      <c r="C1202" s="2" t="s">
        <v>1212</v>
      </c>
      <c r="D1202" s="3">
        <v>482021</v>
      </c>
      <c r="E1202" s="3">
        <v>827</v>
      </c>
      <c r="F1202" s="3">
        <v>24</v>
      </c>
      <c r="G1202" s="3" t="s">
        <v>1012</v>
      </c>
      <c r="H1202" s="3" t="str">
        <f ca="1">IFERROR(__xludf.DUMMYFUNCTION("GOOGLETRANSLATE(B1202,""auto"",""en"")"),"Liquor")</f>
        <v>Liquor</v>
      </c>
      <c r="I1202" s="3" t="str">
        <f ca="1">IFERROR(__xludf.DUMMYFUNCTION("GOOGLETRANSLATE(C1202,""auto"",""en"")"),"Spirit")</f>
        <v>Spirit</v>
      </c>
    </row>
    <row r="1203" spans="1:9" ht="13" x14ac:dyDescent="0.15">
      <c r="A1203" s="2" t="s">
        <v>1009</v>
      </c>
      <c r="B1203" s="2" t="s">
        <v>1210</v>
      </c>
      <c r="C1203" s="2" t="s">
        <v>1213</v>
      </c>
      <c r="D1203" s="3">
        <v>482021</v>
      </c>
      <c r="E1203" s="3">
        <v>827</v>
      </c>
      <c r="F1203" s="3">
        <v>12</v>
      </c>
      <c r="G1203" s="3" t="s">
        <v>1012</v>
      </c>
      <c r="H1203" s="3" t="str">
        <f ca="1">IFERROR(__xludf.DUMMYFUNCTION("GOOGLETRANSLATE(B1203,""auto"",""en"")"),"Liquor")</f>
        <v>Liquor</v>
      </c>
      <c r="I1203" s="3" t="str">
        <f ca="1">IFERROR(__xludf.DUMMYFUNCTION("GOOGLETRANSLATE(C1203,""auto"",""en"")"),"Wine")</f>
        <v>Wine</v>
      </c>
    </row>
    <row r="1204" spans="1:9" ht="13" x14ac:dyDescent="0.15">
      <c r="A1204" s="2" t="s">
        <v>1009</v>
      </c>
      <c r="B1204" s="2" t="s">
        <v>1210</v>
      </c>
      <c r="C1204" s="2" t="s">
        <v>92</v>
      </c>
      <c r="D1204" s="3">
        <v>482021</v>
      </c>
      <c r="E1204" s="3">
        <v>827</v>
      </c>
      <c r="F1204" s="3">
        <v>7</v>
      </c>
      <c r="G1204" s="3" t="s">
        <v>1012</v>
      </c>
      <c r="H1204" s="3" t="str">
        <f ca="1">IFERROR(__xludf.DUMMYFUNCTION("GOOGLETRANSLATE(B1204,""auto"",""en"")"),"Liquor")</f>
        <v>Liquor</v>
      </c>
      <c r="I1204" s="3" t="str">
        <f ca="1">IFERROR(__xludf.DUMMYFUNCTION("GOOGLETRANSLATE(C1204,""auto"",""en"")"),"other")</f>
        <v>other</v>
      </c>
    </row>
    <row r="1205" spans="1:9" ht="13" x14ac:dyDescent="0.15">
      <c r="A1205" s="2" t="s">
        <v>1009</v>
      </c>
      <c r="B1205" s="2" t="s">
        <v>1210</v>
      </c>
      <c r="C1205" s="2" t="s">
        <v>1214</v>
      </c>
      <c r="D1205" s="3">
        <v>482021</v>
      </c>
      <c r="E1205" s="3">
        <v>827</v>
      </c>
      <c r="F1205" s="3">
        <v>7</v>
      </c>
      <c r="G1205" s="3" t="s">
        <v>1012</v>
      </c>
      <c r="H1205" s="3" t="str">
        <f ca="1">IFERROR(__xludf.DUMMYFUNCTION("GOOGLETRANSLATE(B1205,""auto"",""en"")"),"Liquor")</f>
        <v>Liquor</v>
      </c>
      <c r="I1205" s="3" t="str">
        <f ca="1">IFERROR(__xludf.DUMMYFUNCTION("GOOGLETRANSLATE(C1205,""auto"",""en"")"),"beer")</f>
        <v>beer</v>
      </c>
    </row>
    <row r="1206" spans="1:9" ht="13" x14ac:dyDescent="0.15">
      <c r="A1206" s="2" t="s">
        <v>1009</v>
      </c>
      <c r="B1206" s="2" t="s">
        <v>1210</v>
      </c>
      <c r="C1206" s="2" t="s">
        <v>1215</v>
      </c>
      <c r="D1206" s="3">
        <v>482021</v>
      </c>
      <c r="E1206" s="3">
        <v>827</v>
      </c>
      <c r="F1206" s="3">
        <v>3</v>
      </c>
      <c r="G1206" s="3" t="s">
        <v>1012</v>
      </c>
      <c r="H1206" s="3" t="str">
        <f ca="1">IFERROR(__xludf.DUMMYFUNCTION("GOOGLETRANSLATE(B1206,""auto"",""en"")"),"Liquor")</f>
        <v>Liquor</v>
      </c>
      <c r="I1206" s="3" t="str">
        <f ca="1">IFERROR(__xludf.DUMMYFUNCTION("GOOGLETRANSLATE(C1206,""auto"",""en"")"),"Bartender")</f>
        <v>Bartender</v>
      </c>
    </row>
    <row r="1207" spans="1:9" ht="13" x14ac:dyDescent="0.15">
      <c r="A1207" s="2" t="s">
        <v>1216</v>
      </c>
      <c r="B1207" s="2" t="s">
        <v>1217</v>
      </c>
      <c r="C1207" s="2" t="s">
        <v>1218</v>
      </c>
      <c r="D1207" s="3">
        <v>479314</v>
      </c>
      <c r="E1207" s="3">
        <v>367363</v>
      </c>
      <c r="F1207" s="3">
        <v>354418</v>
      </c>
      <c r="G1207" s="3" t="s">
        <v>1219</v>
      </c>
      <c r="H1207" s="3" t="str">
        <f ca="1">IFERROR(__xludf.DUMMYFUNCTION("GOOGLETRANSLATE(B1207,""auto"",""en"")"),"home devices")</f>
        <v>home devices</v>
      </c>
      <c r="I1207" s="3" t="str">
        <f ca="1">IFERROR(__xludf.DUMMYFUNCTION("GOOGLETRANSLATE(C1207,""auto"",""en"")"),"Other Electrical life")</f>
        <v>Other Electrical life</v>
      </c>
    </row>
    <row r="1208" spans="1:9" ht="13" x14ac:dyDescent="0.15">
      <c r="A1208" s="2" t="s">
        <v>1216</v>
      </c>
      <c r="B1208" s="2" t="s">
        <v>1217</v>
      </c>
      <c r="C1208" s="2" t="s">
        <v>1220</v>
      </c>
      <c r="D1208" s="3">
        <v>479314</v>
      </c>
      <c r="E1208" s="3">
        <v>367363</v>
      </c>
      <c r="F1208" s="3">
        <v>6811</v>
      </c>
      <c r="G1208" s="3" t="s">
        <v>1219</v>
      </c>
      <c r="H1208" s="3" t="str">
        <f ca="1">IFERROR(__xludf.DUMMYFUNCTION("GOOGLETRANSLATE(B1208,""auto"",""en"")"),"home devices")</f>
        <v>home devices</v>
      </c>
      <c r="I1208" s="3" t="str">
        <f ca="1">IFERROR(__xludf.DUMMYFUNCTION("GOOGLETRANSLATE(C1208,""auto"",""en"")"),"Fan")</f>
        <v>Fan</v>
      </c>
    </row>
    <row r="1209" spans="1:9" ht="13" x14ac:dyDescent="0.15">
      <c r="A1209" s="2" t="s">
        <v>1216</v>
      </c>
      <c r="B1209" s="2" t="s">
        <v>1217</v>
      </c>
      <c r="C1209" s="2" t="s">
        <v>1221</v>
      </c>
      <c r="D1209" s="3">
        <v>479314</v>
      </c>
      <c r="E1209" s="3">
        <v>367363</v>
      </c>
      <c r="F1209" s="3">
        <v>3836</v>
      </c>
      <c r="G1209" s="3" t="s">
        <v>1219</v>
      </c>
      <c r="H1209" s="3" t="str">
        <f ca="1">IFERROR(__xludf.DUMMYFUNCTION("GOOGLETRANSLATE(B1209,""auto"",""en"")"),"home devices")</f>
        <v>home devices</v>
      </c>
      <c r="I1209" s="3" t="str">
        <f ca="1">IFERROR(__xludf.DUMMYFUNCTION("GOOGLETRANSLATE(C1209,""auto"",""en"")"),"Air-conditioning fan")</f>
        <v>Air-conditioning fan</v>
      </c>
    </row>
    <row r="1210" spans="1:9" ht="13" x14ac:dyDescent="0.15">
      <c r="A1210" s="2" t="s">
        <v>1216</v>
      </c>
      <c r="B1210" s="2" t="s">
        <v>1217</v>
      </c>
      <c r="C1210" s="2" t="s">
        <v>109</v>
      </c>
      <c r="D1210" s="3">
        <v>479314</v>
      </c>
      <c r="E1210" s="3">
        <v>367363</v>
      </c>
      <c r="F1210" s="3">
        <v>922</v>
      </c>
      <c r="G1210" s="3" t="s">
        <v>1219</v>
      </c>
      <c r="H1210" s="3" t="str">
        <f ca="1">IFERROR(__xludf.DUMMYFUNCTION("GOOGLETRANSLATE(B1210,""auto"",""en"")"),"home devices")</f>
        <v>home devices</v>
      </c>
      <c r="I1210" s="3" t="str">
        <f ca="1">IFERROR(__xludf.DUMMYFUNCTION("GOOGLETRANSLATE(C1210,""auto"",""en"")"),"Lint Remover")</f>
        <v>Lint Remover</v>
      </c>
    </row>
    <row r="1211" spans="1:9" ht="13" x14ac:dyDescent="0.15">
      <c r="A1211" s="2" t="s">
        <v>1216</v>
      </c>
      <c r="B1211" s="2" t="s">
        <v>1217</v>
      </c>
      <c r="C1211" s="2" t="s">
        <v>1222</v>
      </c>
      <c r="D1211" s="3">
        <v>479314</v>
      </c>
      <c r="E1211" s="3">
        <v>367363</v>
      </c>
      <c r="F1211" s="3">
        <v>537</v>
      </c>
      <c r="G1211" s="3" t="s">
        <v>1219</v>
      </c>
      <c r="H1211" s="3" t="str">
        <f ca="1">IFERROR(__xludf.DUMMYFUNCTION("GOOGLETRANSLATE(B1211,""auto"",""en"")"),"home devices")</f>
        <v>home devices</v>
      </c>
      <c r="I1211" s="3" t="str">
        <f ca="1">IFERROR(__xludf.DUMMYFUNCTION("GOOGLETRANSLATE(C1211,""auto"",""en"")"),"Garment Steamer")</f>
        <v>Garment Steamer</v>
      </c>
    </row>
    <row r="1212" spans="1:9" ht="13" x14ac:dyDescent="0.15">
      <c r="A1212" s="2" t="s">
        <v>1216</v>
      </c>
      <c r="B1212" s="2" t="s">
        <v>1217</v>
      </c>
      <c r="C1212" s="2" t="s">
        <v>1223</v>
      </c>
      <c r="D1212" s="3">
        <v>479314</v>
      </c>
      <c r="E1212" s="3">
        <v>367363</v>
      </c>
      <c r="F1212" s="3">
        <v>520</v>
      </c>
      <c r="G1212" s="3" t="s">
        <v>1219</v>
      </c>
      <c r="H1212" s="3" t="str">
        <f ca="1">IFERROR(__xludf.DUMMYFUNCTION("GOOGLETRANSLATE(B1212,""auto"",""en"")"),"home devices")</f>
        <v>home devices</v>
      </c>
      <c r="I1212" s="3" t="str">
        <f ca="1">IFERROR(__xludf.DUMMYFUNCTION("GOOGLETRANSLATE(C1212,""auto"",""en"")"),"humidifier")</f>
        <v>humidifier</v>
      </c>
    </row>
    <row r="1213" spans="1:9" ht="13" x14ac:dyDescent="0.15">
      <c r="A1213" s="2" t="s">
        <v>1216</v>
      </c>
      <c r="B1213" s="2" t="s">
        <v>1217</v>
      </c>
      <c r="C1213" s="2" t="s">
        <v>1224</v>
      </c>
      <c r="D1213" s="3">
        <v>479314</v>
      </c>
      <c r="E1213" s="3">
        <v>367363</v>
      </c>
      <c r="F1213" s="3">
        <v>121</v>
      </c>
      <c r="G1213" s="3" t="s">
        <v>1219</v>
      </c>
      <c r="H1213" s="3" t="str">
        <f ca="1">IFERROR(__xludf.DUMMYFUNCTION("GOOGLETRANSLATE(B1213,""auto"",""en"")"),"home devices")</f>
        <v>home devices</v>
      </c>
      <c r="I1213" s="3" t="str">
        <f ca="1">IFERROR(__xludf.DUMMYFUNCTION("GOOGLETRANSLATE(C1213,""auto"",""en"")"),"Clothes dryer")</f>
        <v>Clothes dryer</v>
      </c>
    </row>
    <row r="1214" spans="1:9" ht="13" x14ac:dyDescent="0.15">
      <c r="A1214" s="2" t="s">
        <v>1216</v>
      </c>
      <c r="B1214" s="2" t="s">
        <v>1217</v>
      </c>
      <c r="C1214" s="2" t="s">
        <v>1225</v>
      </c>
      <c r="D1214" s="3">
        <v>479314</v>
      </c>
      <c r="E1214" s="3">
        <v>367363</v>
      </c>
      <c r="F1214" s="3">
        <v>73</v>
      </c>
      <c r="G1214" s="3" t="s">
        <v>1219</v>
      </c>
      <c r="H1214" s="3" t="str">
        <f ca="1">IFERROR(__xludf.DUMMYFUNCTION("GOOGLETRANSLATE(B1214,""auto"",""en"")"),"home devices")</f>
        <v>home devices</v>
      </c>
      <c r="I1214" s="3" t="str">
        <f ca="1">IFERROR(__xludf.DUMMYFUNCTION("GOOGLETRANSLATE(C1214,""auto"",""en"")"),"Irons")</f>
        <v>Irons</v>
      </c>
    </row>
    <row r="1215" spans="1:9" ht="13" x14ac:dyDescent="0.15">
      <c r="A1215" s="2" t="s">
        <v>1216</v>
      </c>
      <c r="B1215" s="2" t="s">
        <v>1217</v>
      </c>
      <c r="C1215" s="2" t="s">
        <v>1226</v>
      </c>
      <c r="D1215" s="3">
        <v>479314</v>
      </c>
      <c r="E1215" s="3">
        <v>367363</v>
      </c>
      <c r="F1215" s="3">
        <v>67</v>
      </c>
      <c r="G1215" s="3" t="s">
        <v>1219</v>
      </c>
      <c r="H1215" s="3" t="str">
        <f ca="1">IFERROR(__xludf.DUMMYFUNCTION("GOOGLETRANSLATE(B1215,""auto"",""en"")"),"home devices")</f>
        <v>home devices</v>
      </c>
      <c r="I1215" s="3" t="str">
        <f ca="1">IFERROR(__xludf.DUMMYFUNCTION("GOOGLETRANSLATE(C1215,""auto"",""en"")"),"vacuum cleaner")</f>
        <v>vacuum cleaner</v>
      </c>
    </row>
    <row r="1216" spans="1:9" ht="13" x14ac:dyDescent="0.15">
      <c r="A1216" s="2" t="s">
        <v>1216</v>
      </c>
      <c r="B1216" s="2" t="s">
        <v>1217</v>
      </c>
      <c r="C1216" s="2" t="s">
        <v>1227</v>
      </c>
      <c r="D1216" s="3">
        <v>479314</v>
      </c>
      <c r="E1216" s="3">
        <v>367363</v>
      </c>
      <c r="F1216" s="3">
        <v>40</v>
      </c>
      <c r="G1216" s="3" t="s">
        <v>1219</v>
      </c>
      <c r="H1216" s="3" t="str">
        <f ca="1">IFERROR(__xludf.DUMMYFUNCTION("GOOGLETRANSLATE(B1216,""auto"",""en"")"),"home devices")</f>
        <v>home devices</v>
      </c>
      <c r="I1216" s="3" t="str">
        <f ca="1">IFERROR(__xludf.DUMMYFUNCTION("GOOGLETRANSLATE(C1216,""auto"",""en"")"),"Mites instrument")</f>
        <v>Mites instrument</v>
      </c>
    </row>
    <row r="1217" spans="1:9" ht="13" x14ac:dyDescent="0.15">
      <c r="A1217" s="2" t="s">
        <v>1216</v>
      </c>
      <c r="B1217" s="2" t="s">
        <v>1217</v>
      </c>
      <c r="C1217" s="2" t="s">
        <v>1228</v>
      </c>
      <c r="D1217" s="3">
        <v>479314</v>
      </c>
      <c r="E1217" s="3">
        <v>367363</v>
      </c>
      <c r="F1217" s="3">
        <v>9</v>
      </c>
      <c r="G1217" s="3" t="s">
        <v>1219</v>
      </c>
      <c r="H1217" s="3" t="str">
        <f ca="1">IFERROR(__xludf.DUMMYFUNCTION("GOOGLETRANSLATE(B1217,""auto"",""en"")"),"home devices")</f>
        <v>home devices</v>
      </c>
      <c r="I1217" s="3" t="str">
        <f ca="1">IFERROR(__xludf.DUMMYFUNCTION("GOOGLETRANSLATE(C1217,""auto"",""en"")"),"Heater / Heater")</f>
        <v>Heater / Heater</v>
      </c>
    </row>
    <row r="1218" spans="1:9" ht="13" x14ac:dyDescent="0.15">
      <c r="A1218" s="2" t="s">
        <v>1216</v>
      </c>
      <c r="B1218" s="2" t="s">
        <v>1217</v>
      </c>
      <c r="C1218" s="2" t="s">
        <v>1229</v>
      </c>
      <c r="D1218" s="3">
        <v>479314</v>
      </c>
      <c r="E1218" s="3">
        <v>367363</v>
      </c>
      <c r="F1218" s="3">
        <v>3</v>
      </c>
      <c r="G1218" s="3" t="s">
        <v>1219</v>
      </c>
      <c r="H1218" s="3" t="str">
        <f ca="1">IFERROR(__xludf.DUMMYFUNCTION("GOOGLETRANSLATE(B1218,""auto"",""en"")"),"home devices")</f>
        <v>home devices</v>
      </c>
      <c r="I1218" s="3" t="str">
        <f ca="1">IFERROR(__xludf.DUMMYFUNCTION("GOOGLETRANSLATE(C1218,""auto"",""en"")"),"Sweeping robot")</f>
        <v>Sweeping robot</v>
      </c>
    </row>
    <row r="1219" spans="1:9" ht="13" x14ac:dyDescent="0.15">
      <c r="A1219" s="2" t="s">
        <v>1216</v>
      </c>
      <c r="B1219" s="2" t="s">
        <v>1217</v>
      </c>
      <c r="C1219" s="2" t="s">
        <v>1230</v>
      </c>
      <c r="D1219" s="3">
        <v>479314</v>
      </c>
      <c r="E1219" s="3">
        <v>367363</v>
      </c>
      <c r="F1219" s="3">
        <v>3</v>
      </c>
      <c r="G1219" s="3" t="s">
        <v>1219</v>
      </c>
      <c r="H1219" s="3" t="str">
        <f ca="1">IFERROR(__xludf.DUMMYFUNCTION("GOOGLETRANSLATE(B1219,""auto"",""en"")"),"home devices")</f>
        <v>home devices</v>
      </c>
      <c r="I1219" s="3" t="str">
        <f ca="1">IFERROR(__xludf.DUMMYFUNCTION("GOOGLETRANSLATE(C1219,""auto"",""en"")"),"Air Purifier / Oxygen Bar")</f>
        <v>Air Purifier / Oxygen Bar</v>
      </c>
    </row>
    <row r="1220" spans="1:9" ht="13" x14ac:dyDescent="0.15">
      <c r="A1220" s="2" t="s">
        <v>1216</v>
      </c>
      <c r="B1220" s="2" t="s">
        <v>1217</v>
      </c>
      <c r="C1220" s="2" t="s">
        <v>1231</v>
      </c>
      <c r="D1220" s="3">
        <v>479314</v>
      </c>
      <c r="E1220" s="3">
        <v>367363</v>
      </c>
      <c r="F1220" s="3">
        <v>2</v>
      </c>
      <c r="G1220" s="3" t="s">
        <v>1219</v>
      </c>
      <c r="H1220" s="3" t="str">
        <f ca="1">IFERROR(__xludf.DUMMYFUNCTION("GOOGLETRANSLATE(B1220,""auto"",""en"")"),"home devices")</f>
        <v>home devices</v>
      </c>
      <c r="I1220" s="3" t="str">
        <f ca="1">IFERROR(__xludf.DUMMYFUNCTION("GOOGLETRANSLATE(C1220,""auto"",""en"")"),"Dry shoes")</f>
        <v>Dry shoes</v>
      </c>
    </row>
    <row r="1221" spans="1:9" ht="13" x14ac:dyDescent="0.15">
      <c r="A1221" s="2" t="s">
        <v>1216</v>
      </c>
      <c r="B1221" s="2" t="s">
        <v>1217</v>
      </c>
      <c r="C1221" s="2" t="s">
        <v>1232</v>
      </c>
      <c r="D1221" s="3">
        <v>479314</v>
      </c>
      <c r="E1221" s="3">
        <v>367363</v>
      </c>
      <c r="F1221" s="3">
        <v>1</v>
      </c>
      <c r="G1221" s="3" t="s">
        <v>1219</v>
      </c>
      <c r="H1221" s="3" t="str">
        <f ca="1">IFERROR(__xludf.DUMMYFUNCTION("GOOGLETRANSLATE(B1221,""auto"",""en"")"),"home devices")</f>
        <v>home devices</v>
      </c>
      <c r="I1221" s="3" t="str">
        <f ca="1">IFERROR(__xludf.DUMMYFUNCTION("GOOGLETRANSLATE(C1221,""auto"",""en"")"),"Dehumidifier / dehumidifier")</f>
        <v>Dehumidifier / dehumidifier</v>
      </c>
    </row>
    <row r="1222" spans="1:9" ht="13" x14ac:dyDescent="0.15">
      <c r="A1222" s="2" t="s">
        <v>1216</v>
      </c>
      <c r="B1222" s="2" t="s">
        <v>1233</v>
      </c>
      <c r="C1222" s="2" t="s">
        <v>1234</v>
      </c>
      <c r="D1222" s="3">
        <v>479314</v>
      </c>
      <c r="E1222" s="3">
        <v>91177</v>
      </c>
      <c r="F1222" s="3">
        <v>34787</v>
      </c>
      <c r="G1222" s="3" t="s">
        <v>1219</v>
      </c>
      <c r="H1222" s="3" t="str">
        <f ca="1">IFERROR(__xludf.DUMMYFUNCTION("GOOGLETRANSLATE(B1222,""auto"",""en"")"),"Kitchen Appliances")</f>
        <v>Kitchen Appliances</v>
      </c>
      <c r="I1222" s="3" t="str">
        <f ca="1">IFERROR(__xludf.DUMMYFUNCTION("GOOGLETRANSLATE(C1222,""auto"",""en"")"),"Rice cooker")</f>
        <v>Rice cooker</v>
      </c>
    </row>
    <row r="1223" spans="1:9" ht="13" x14ac:dyDescent="0.15">
      <c r="A1223" s="2" t="s">
        <v>1216</v>
      </c>
      <c r="B1223" s="2" t="s">
        <v>1233</v>
      </c>
      <c r="C1223" s="2" t="s">
        <v>1235</v>
      </c>
      <c r="D1223" s="3">
        <v>479314</v>
      </c>
      <c r="E1223" s="3">
        <v>91177</v>
      </c>
      <c r="F1223" s="3">
        <v>26446</v>
      </c>
      <c r="G1223" s="3" t="s">
        <v>1219</v>
      </c>
      <c r="H1223" s="3" t="str">
        <f ca="1">IFERROR(__xludf.DUMMYFUNCTION("GOOGLETRANSLATE(B1223,""auto"",""en"")"),"Kitchen Appliances")</f>
        <v>Kitchen Appliances</v>
      </c>
      <c r="I1223" s="3" t="str">
        <f ca="1">IFERROR(__xludf.DUMMYFUNCTION("GOOGLETRANSLATE(C1223,""auto"",""en"")"),"Other kitchen appliances")</f>
        <v>Other kitchen appliances</v>
      </c>
    </row>
    <row r="1224" spans="1:9" ht="13" x14ac:dyDescent="0.15">
      <c r="A1224" s="2" t="s">
        <v>1216</v>
      </c>
      <c r="B1224" s="2" t="s">
        <v>1233</v>
      </c>
      <c r="C1224" s="2" t="s">
        <v>1236</v>
      </c>
      <c r="D1224" s="3">
        <v>479314</v>
      </c>
      <c r="E1224" s="3">
        <v>91177</v>
      </c>
      <c r="F1224" s="3">
        <v>12244</v>
      </c>
      <c r="G1224" s="3" t="s">
        <v>1219</v>
      </c>
      <c r="H1224" s="3" t="str">
        <f ca="1">IFERROR(__xludf.DUMMYFUNCTION("GOOGLETRANSLATE(B1224,""auto"",""en"")"),"Kitchen Appliances")</f>
        <v>Kitchen Appliances</v>
      </c>
      <c r="I1224" s="3" t="str">
        <f ca="1">IFERROR(__xludf.DUMMYFUNCTION("GOOGLETRANSLATE(C1224,""auto"",""en"")"),"electric kettle")</f>
        <v>electric kettle</v>
      </c>
    </row>
    <row r="1225" spans="1:9" ht="13" x14ac:dyDescent="0.15">
      <c r="A1225" s="2" t="s">
        <v>1216</v>
      </c>
      <c r="B1225" s="2" t="s">
        <v>1233</v>
      </c>
      <c r="C1225" s="2" t="s">
        <v>1237</v>
      </c>
      <c r="D1225" s="3">
        <v>479314</v>
      </c>
      <c r="E1225" s="3">
        <v>91177</v>
      </c>
      <c r="F1225" s="3">
        <v>7599</v>
      </c>
      <c r="G1225" s="3" t="s">
        <v>1219</v>
      </c>
      <c r="H1225" s="3" t="str">
        <f ca="1">IFERROR(__xludf.DUMMYFUNCTION("GOOGLETRANSLATE(B1225,""auto"",""en"")"),"Kitchen Appliances")</f>
        <v>Kitchen Appliances</v>
      </c>
      <c r="I1225" s="3" t="str">
        <f ca="1">IFERROR(__xludf.DUMMYFUNCTION("GOOGLETRANSLATE(C1225,""auto"",""en"")"),"Soymilk")</f>
        <v>Soymilk</v>
      </c>
    </row>
    <row r="1226" spans="1:9" ht="13" x14ac:dyDescent="0.15">
      <c r="A1226" s="2" t="s">
        <v>1216</v>
      </c>
      <c r="B1226" s="2" t="s">
        <v>1233</v>
      </c>
      <c r="C1226" s="2" t="s">
        <v>1238</v>
      </c>
      <c r="D1226" s="3">
        <v>479314</v>
      </c>
      <c r="E1226" s="3">
        <v>91177</v>
      </c>
      <c r="F1226" s="3">
        <v>2167</v>
      </c>
      <c r="G1226" s="3" t="s">
        <v>1219</v>
      </c>
      <c r="H1226" s="3" t="str">
        <f ca="1">IFERROR(__xludf.DUMMYFUNCTION("GOOGLETRANSLATE(B1226,""auto"",""en"")"),"Kitchen Appliances")</f>
        <v>Kitchen Appliances</v>
      </c>
      <c r="I1226" s="3" t="str">
        <f ca="1">IFERROR(__xludf.DUMMYFUNCTION("GOOGLETRANSLATE(C1226,""auto"",""en"")"),"Mixing / cooking machine")</f>
        <v>Mixing / cooking machine</v>
      </c>
    </row>
    <row r="1227" spans="1:9" ht="13" x14ac:dyDescent="0.15">
      <c r="A1227" s="2" t="s">
        <v>1216</v>
      </c>
      <c r="B1227" s="2" t="s">
        <v>1233</v>
      </c>
      <c r="C1227" s="2" t="s">
        <v>1239</v>
      </c>
      <c r="D1227" s="3">
        <v>479314</v>
      </c>
      <c r="E1227" s="3">
        <v>91177</v>
      </c>
      <c r="F1227" s="3">
        <v>2099</v>
      </c>
      <c r="G1227" s="3" t="s">
        <v>1219</v>
      </c>
      <c r="H1227" s="3" t="str">
        <f ca="1">IFERROR(__xludf.DUMMYFUNCTION("GOOGLETRANSLATE(B1227,""auto"",""en"")"),"Kitchen Appliances")</f>
        <v>Kitchen Appliances</v>
      </c>
      <c r="I1227" s="3" t="str">
        <f ca="1">IFERROR(__xludf.DUMMYFUNCTION("GOOGLETRANSLATE(C1227,""auto"",""en"")"),"egg boiler")</f>
        <v>egg boiler</v>
      </c>
    </row>
    <row r="1228" spans="1:9" ht="13" x14ac:dyDescent="0.15">
      <c r="A1228" s="2" t="s">
        <v>1216</v>
      </c>
      <c r="B1228" s="2" t="s">
        <v>1233</v>
      </c>
      <c r="C1228" s="2" t="s">
        <v>1240</v>
      </c>
      <c r="D1228" s="3">
        <v>479314</v>
      </c>
      <c r="E1228" s="3">
        <v>91177</v>
      </c>
      <c r="F1228" s="3">
        <v>1278</v>
      </c>
      <c r="G1228" s="3" t="s">
        <v>1219</v>
      </c>
      <c r="H1228" s="3" t="str">
        <f ca="1">IFERROR(__xludf.DUMMYFUNCTION("GOOGLETRANSLATE(B1228,""auto"",""en"")"),"Kitchen Appliances")</f>
        <v>Kitchen Appliances</v>
      </c>
      <c r="I1228" s="3" t="str">
        <f ca="1">IFERROR(__xludf.DUMMYFUNCTION("GOOGLETRANSLATE(C1228,""auto"",""en"")"),"Electric cookers / electric slow cooker")</f>
        <v>Electric cookers / electric slow cooker</v>
      </c>
    </row>
    <row r="1229" spans="1:9" ht="13" x14ac:dyDescent="0.15">
      <c r="A1229" s="2" t="s">
        <v>1216</v>
      </c>
      <c r="B1229" s="2" t="s">
        <v>1233</v>
      </c>
      <c r="C1229" s="2" t="s">
        <v>1241</v>
      </c>
      <c r="D1229" s="3">
        <v>479314</v>
      </c>
      <c r="E1229" s="3">
        <v>91177</v>
      </c>
      <c r="F1229" s="3">
        <v>1273</v>
      </c>
      <c r="G1229" s="3" t="s">
        <v>1219</v>
      </c>
      <c r="H1229" s="3" t="str">
        <f ca="1">IFERROR(__xludf.DUMMYFUNCTION("GOOGLETRANSLATE(B1229,""auto"",""en"")"),"Kitchen Appliances")</f>
        <v>Kitchen Appliances</v>
      </c>
      <c r="I1229" s="3" t="str">
        <f ca="1">IFERROR(__xludf.DUMMYFUNCTION("GOOGLETRANSLATE(C1229,""auto"",""en"")"),"Yogurt Maker")</f>
        <v>Yogurt Maker</v>
      </c>
    </row>
    <row r="1230" spans="1:9" ht="13" x14ac:dyDescent="0.15">
      <c r="A1230" s="2" t="s">
        <v>1216</v>
      </c>
      <c r="B1230" s="2" t="s">
        <v>1233</v>
      </c>
      <c r="C1230" s="2" t="s">
        <v>1242</v>
      </c>
      <c r="D1230" s="3">
        <v>479314</v>
      </c>
      <c r="E1230" s="3">
        <v>91177</v>
      </c>
      <c r="F1230" s="3">
        <v>639</v>
      </c>
      <c r="G1230" s="3" t="s">
        <v>1219</v>
      </c>
      <c r="H1230" s="3" t="str">
        <f ca="1">IFERROR(__xludf.DUMMYFUNCTION("GOOGLETRANSLATE(B1230,""auto"",""en"")"),"Kitchen Appliances")</f>
        <v>Kitchen Appliances</v>
      </c>
      <c r="I1230" s="3" t="str">
        <f ca="1">IFERROR(__xludf.DUMMYFUNCTION("GOOGLETRANSLATE(C1230,""auto"",""en"")"),"Juicer")</f>
        <v>Juicer</v>
      </c>
    </row>
    <row r="1231" spans="1:9" ht="13" x14ac:dyDescent="0.15">
      <c r="A1231" s="2" t="s">
        <v>1216</v>
      </c>
      <c r="B1231" s="2" t="s">
        <v>1233</v>
      </c>
      <c r="C1231" s="2" t="s">
        <v>1243</v>
      </c>
      <c r="D1231" s="3">
        <v>479314</v>
      </c>
      <c r="E1231" s="3">
        <v>91177</v>
      </c>
      <c r="F1231" s="3">
        <v>552</v>
      </c>
      <c r="G1231" s="3" t="s">
        <v>1219</v>
      </c>
      <c r="H1231" s="3" t="str">
        <f ca="1">IFERROR(__xludf.DUMMYFUNCTION("GOOGLETRANSLATE(B1231,""auto"",""en"")"),"Kitchen Appliances")</f>
        <v>Kitchen Appliances</v>
      </c>
      <c r="I1231" s="3" t="str">
        <f ca="1">IFERROR(__xludf.DUMMYFUNCTION("GOOGLETRANSLATE(C1231,""auto"",""en"")"),"Water Purifier")</f>
        <v>Water Purifier</v>
      </c>
    </row>
    <row r="1232" spans="1:9" ht="13" x14ac:dyDescent="0.15">
      <c r="A1232" s="2" t="s">
        <v>1216</v>
      </c>
      <c r="B1232" s="2" t="s">
        <v>1233</v>
      </c>
      <c r="C1232" s="2" t="s">
        <v>1244</v>
      </c>
      <c r="D1232" s="3">
        <v>479314</v>
      </c>
      <c r="E1232" s="3">
        <v>91177</v>
      </c>
      <c r="F1232" s="3">
        <v>433</v>
      </c>
      <c r="G1232" s="3" t="s">
        <v>1219</v>
      </c>
      <c r="H1232" s="3" t="str">
        <f ca="1">IFERROR(__xludf.DUMMYFUNCTION("GOOGLETRANSLATE(B1232,""auto"",""en"")"),"Kitchen Appliances")</f>
        <v>Kitchen Appliances</v>
      </c>
      <c r="I1232" s="3" t="str">
        <f ca="1">IFERROR(__xludf.DUMMYFUNCTION("GOOGLETRANSLATE(C1232,""auto"",""en"")"),"Electric hand mixer")</f>
        <v>Electric hand mixer</v>
      </c>
    </row>
    <row r="1233" spans="1:9" ht="13" x14ac:dyDescent="0.15">
      <c r="A1233" s="2" t="s">
        <v>1216</v>
      </c>
      <c r="B1233" s="2" t="s">
        <v>1233</v>
      </c>
      <c r="C1233" s="2" t="s">
        <v>1245</v>
      </c>
      <c r="D1233" s="3">
        <v>479314</v>
      </c>
      <c r="E1233" s="3">
        <v>91177</v>
      </c>
      <c r="F1233" s="3">
        <v>330</v>
      </c>
      <c r="G1233" s="3" t="s">
        <v>1219</v>
      </c>
      <c r="H1233" s="3" t="str">
        <f ca="1">IFERROR(__xludf.DUMMYFUNCTION("GOOGLETRANSLATE(B1233,""auto"",""en"")"),"Kitchen Appliances")</f>
        <v>Kitchen Appliances</v>
      </c>
      <c r="I1233" s="3" t="str">
        <f ca="1">IFERROR(__xludf.DUMMYFUNCTION("GOOGLETRANSLATE(C1233,""auto"",""en"")"),"Electric stove")</f>
        <v>Electric stove</v>
      </c>
    </row>
    <row r="1234" spans="1:9" ht="13" x14ac:dyDescent="0.15">
      <c r="A1234" s="2" t="s">
        <v>1216</v>
      </c>
      <c r="B1234" s="2" t="s">
        <v>1233</v>
      </c>
      <c r="C1234" s="2" t="s">
        <v>1246</v>
      </c>
      <c r="D1234" s="3">
        <v>479314</v>
      </c>
      <c r="E1234" s="3">
        <v>91177</v>
      </c>
      <c r="F1234" s="3">
        <v>235</v>
      </c>
      <c r="G1234" s="3" t="s">
        <v>1219</v>
      </c>
      <c r="H1234" s="3" t="str">
        <f ca="1">IFERROR(__xludf.DUMMYFUNCTION("GOOGLETRANSLATE(B1234,""auto"",""en"")"),"Kitchen Appliances")</f>
        <v>Kitchen Appliances</v>
      </c>
      <c r="I1234" s="3" t="str">
        <f ca="1">IFERROR(__xludf.DUMMYFUNCTION("GOOGLETRANSLATE(C1234,""auto"",""en"")"),"Electric pot / small electric pot")</f>
        <v>Electric pot / small electric pot</v>
      </c>
    </row>
    <row r="1235" spans="1:9" ht="13" x14ac:dyDescent="0.15">
      <c r="A1235" s="2" t="s">
        <v>1216</v>
      </c>
      <c r="B1235" s="2" t="s">
        <v>1233</v>
      </c>
      <c r="C1235" s="2" t="s">
        <v>1247</v>
      </c>
      <c r="D1235" s="3">
        <v>479314</v>
      </c>
      <c r="E1235" s="3">
        <v>91177</v>
      </c>
      <c r="F1235" s="3">
        <v>231</v>
      </c>
      <c r="G1235" s="3" t="s">
        <v>1219</v>
      </c>
      <c r="H1235" s="3" t="str">
        <f ca="1">IFERROR(__xludf.DUMMYFUNCTION("GOOGLETRANSLATE(B1235,""auto"",""en"")"),"Kitchen Appliances")</f>
        <v>Kitchen Appliances</v>
      </c>
      <c r="I1235" s="3" t="str">
        <f ca="1">IFERROR(__xludf.DUMMYFUNCTION("GOOGLETRANSLATE(C1235,""auto"",""en"")"),"Health / health / medicine or pot")</f>
        <v>Health / health / medicine or pot</v>
      </c>
    </row>
    <row r="1236" spans="1:9" ht="13" x14ac:dyDescent="0.15">
      <c r="A1236" s="2" t="s">
        <v>1216</v>
      </c>
      <c r="B1236" s="2" t="s">
        <v>1233</v>
      </c>
      <c r="C1236" s="2" t="s">
        <v>1248</v>
      </c>
      <c r="D1236" s="3">
        <v>479314</v>
      </c>
      <c r="E1236" s="3">
        <v>91177</v>
      </c>
      <c r="F1236" s="3">
        <v>210</v>
      </c>
      <c r="G1236" s="3" t="s">
        <v>1219</v>
      </c>
      <c r="H1236" s="3" t="str">
        <f ca="1">IFERROR(__xludf.DUMMYFUNCTION("GOOGLETRANSLATE(B1236,""auto"",""en"")"),"Kitchen Appliances")</f>
        <v>Kitchen Appliances</v>
      </c>
      <c r="I1236" s="3" t="str">
        <f ca="1">IFERROR(__xludf.DUMMYFUNCTION("GOOGLETRANSLATE(C1236,""auto"",""en"")"),"Electric baking pan")</f>
        <v>Electric baking pan</v>
      </c>
    </row>
    <row r="1237" spans="1:9" ht="13" x14ac:dyDescent="0.15">
      <c r="A1237" s="2" t="s">
        <v>1216</v>
      </c>
      <c r="B1237" s="2" t="s">
        <v>1233</v>
      </c>
      <c r="C1237" s="2" t="s">
        <v>1249</v>
      </c>
      <c r="D1237" s="3">
        <v>479314</v>
      </c>
      <c r="E1237" s="3">
        <v>91177</v>
      </c>
      <c r="F1237" s="3">
        <v>208</v>
      </c>
      <c r="G1237" s="3" t="s">
        <v>1219</v>
      </c>
      <c r="H1237" s="3" t="str">
        <f ca="1">IFERROR(__xludf.DUMMYFUNCTION("GOOGLETRANSLATE(B1237,""auto"",""en"")"),"Kitchen Appliances")</f>
        <v>Kitchen Appliances</v>
      </c>
      <c r="I1237" s="3" t="str">
        <f ca="1">IFERROR(__xludf.DUMMYFUNCTION("GOOGLETRANSLATE(C1237,""auto"",""en"")"),"Cooker / electric ceramic heaters")</f>
        <v>Cooker / electric ceramic heaters</v>
      </c>
    </row>
    <row r="1238" spans="1:9" ht="13" x14ac:dyDescent="0.15">
      <c r="A1238" s="2" t="s">
        <v>1216</v>
      </c>
      <c r="B1238" s="2" t="s">
        <v>1233</v>
      </c>
      <c r="C1238" s="2" t="s">
        <v>1250</v>
      </c>
      <c r="D1238" s="3">
        <v>479314</v>
      </c>
      <c r="E1238" s="3">
        <v>91177</v>
      </c>
      <c r="F1238" s="3">
        <v>152</v>
      </c>
      <c r="G1238" s="3" t="s">
        <v>1219</v>
      </c>
      <c r="H1238" s="3" t="str">
        <f ca="1">IFERROR(__xludf.DUMMYFUNCTION("GOOGLETRANSLATE(B1238,""auto"",""en"")"),"Kitchen Appliances")</f>
        <v>Kitchen Appliances</v>
      </c>
      <c r="I1238" s="3" t="str">
        <f ca="1">IFERROR(__xludf.DUMMYFUNCTION("GOOGLETRANSLATE(C1238,""auto"",""en"")"),"Electric pressure cooker")</f>
        <v>Electric pressure cooker</v>
      </c>
    </row>
    <row r="1239" spans="1:9" ht="13" x14ac:dyDescent="0.15">
      <c r="A1239" s="2" t="s">
        <v>1216</v>
      </c>
      <c r="B1239" s="2" t="s">
        <v>1233</v>
      </c>
      <c r="C1239" s="2" t="s">
        <v>1251</v>
      </c>
      <c r="D1239" s="3">
        <v>479314</v>
      </c>
      <c r="E1239" s="3">
        <v>91177</v>
      </c>
      <c r="F1239" s="3">
        <v>149</v>
      </c>
      <c r="G1239" s="3" t="s">
        <v>1219</v>
      </c>
      <c r="H1239" s="3" t="str">
        <f ca="1">IFERROR(__xludf.DUMMYFUNCTION("GOOGLETRANSLATE(B1239,""auto"",""en"")"),"Kitchen Appliances")</f>
        <v>Kitchen Appliances</v>
      </c>
      <c r="I1239" s="3" t="str">
        <f ca="1">IFERROR(__xludf.DUMMYFUNCTION("GOOGLETRANSLATE(C1239,""auto"",""en"")"),"Electric boxes")</f>
        <v>Electric boxes</v>
      </c>
    </row>
    <row r="1240" spans="1:9" ht="13" x14ac:dyDescent="0.15">
      <c r="A1240" s="2" t="s">
        <v>1216</v>
      </c>
      <c r="B1240" s="2" t="s">
        <v>1233</v>
      </c>
      <c r="C1240" s="2" t="s">
        <v>1252</v>
      </c>
      <c r="D1240" s="3">
        <v>479314</v>
      </c>
      <c r="E1240" s="3">
        <v>91177</v>
      </c>
      <c r="F1240" s="3">
        <v>53</v>
      </c>
      <c r="G1240" s="3" t="s">
        <v>1219</v>
      </c>
      <c r="H1240" s="3" t="str">
        <f ca="1">IFERROR(__xludf.DUMMYFUNCTION("GOOGLETRANSLATE(B1240,""auto"",""en"")"),"Kitchen Appliances")</f>
        <v>Kitchen Appliances</v>
      </c>
      <c r="I1240" s="3" t="str">
        <f ca="1">IFERROR(__xludf.DUMMYFUNCTION("GOOGLETRANSLATE(C1240,""auto"",""en"")"),"Drinking fountains")</f>
        <v>Drinking fountains</v>
      </c>
    </row>
    <row r="1241" spans="1:9" ht="13" x14ac:dyDescent="0.15">
      <c r="A1241" s="2" t="s">
        <v>1216</v>
      </c>
      <c r="B1241" s="2" t="s">
        <v>1233</v>
      </c>
      <c r="C1241" s="2" t="s">
        <v>1253</v>
      </c>
      <c r="D1241" s="3">
        <v>479314</v>
      </c>
      <c r="E1241" s="3">
        <v>91177</v>
      </c>
      <c r="F1241" s="3">
        <v>42</v>
      </c>
      <c r="G1241" s="3" t="s">
        <v>1219</v>
      </c>
      <c r="H1241" s="3" t="str">
        <f ca="1">IFERROR(__xludf.DUMMYFUNCTION("GOOGLETRANSLATE(B1241,""auto"",""en"")"),"Kitchen Appliances")</f>
        <v>Kitchen Appliances</v>
      </c>
      <c r="I1241" s="3" t="str">
        <f ca="1">IFERROR(__xludf.DUMMYFUNCTION("GOOGLETRANSLATE(C1241,""auto"",""en"")"),"Juice machine")</f>
        <v>Juice machine</v>
      </c>
    </row>
    <row r="1242" spans="1:9" ht="13" x14ac:dyDescent="0.15">
      <c r="A1242" s="2" t="s">
        <v>1216</v>
      </c>
      <c r="B1242" s="2" t="s">
        <v>1233</v>
      </c>
      <c r="C1242" s="2" t="s">
        <v>1254</v>
      </c>
      <c r="D1242" s="3">
        <v>479314</v>
      </c>
      <c r="E1242" s="3">
        <v>91177</v>
      </c>
      <c r="F1242" s="3">
        <v>16</v>
      </c>
      <c r="G1242" s="3" t="s">
        <v>1219</v>
      </c>
      <c r="H1242" s="3" t="str">
        <f ca="1">IFERROR(__xludf.DUMMYFUNCTION("GOOGLETRANSLATE(B1242,""auto"",""en"")"),"Kitchen Appliances")</f>
        <v>Kitchen Appliances</v>
      </c>
      <c r="I1242" s="3" t="str">
        <f ca="1">IFERROR(__xludf.DUMMYFUNCTION("GOOGLETRANSLATE(C1242,""auto"",""en"")"),"Steamer")</f>
        <v>Steamer</v>
      </c>
    </row>
    <row r="1243" spans="1:9" ht="13" x14ac:dyDescent="0.15">
      <c r="A1243" s="2" t="s">
        <v>1216</v>
      </c>
      <c r="B1243" s="2" t="s">
        <v>1233</v>
      </c>
      <c r="C1243" s="2" t="s">
        <v>1255</v>
      </c>
      <c r="D1243" s="3">
        <v>479314</v>
      </c>
      <c r="E1243" s="3">
        <v>91177</v>
      </c>
      <c r="F1243" s="3">
        <v>12</v>
      </c>
      <c r="G1243" s="3" t="s">
        <v>1219</v>
      </c>
      <c r="H1243" s="3" t="str">
        <f ca="1">IFERROR(__xludf.DUMMYFUNCTION("GOOGLETRANSLATE(B1243,""auto"",""en"")"),"Kitchen Appliances")</f>
        <v>Kitchen Appliances</v>
      </c>
      <c r="I1243" s="3" t="str">
        <f ca="1">IFERROR(__xludf.DUMMYFUNCTION("GOOGLETRANSLATE(C1243,""auto"",""en"")"),"Toaster")</f>
        <v>Toaster</v>
      </c>
    </row>
    <row r="1244" spans="1:9" ht="13" x14ac:dyDescent="0.15">
      <c r="A1244" s="2" t="s">
        <v>1216</v>
      </c>
      <c r="B1244" s="2" t="s">
        <v>1233</v>
      </c>
      <c r="C1244" s="2" t="s">
        <v>1256</v>
      </c>
      <c r="D1244" s="3">
        <v>479314</v>
      </c>
      <c r="E1244" s="3">
        <v>91177</v>
      </c>
      <c r="F1244" s="3">
        <v>7</v>
      </c>
      <c r="G1244" s="3" t="s">
        <v>1219</v>
      </c>
      <c r="H1244" s="3" t="str">
        <f ca="1">IFERROR(__xludf.DUMMYFUNCTION("GOOGLETRANSLATE(B1244,""auto"",""en"")"),"Kitchen Appliances")</f>
        <v>Kitchen Appliances</v>
      </c>
      <c r="I1244" s="3" t="str">
        <f ca="1">IFERROR(__xludf.DUMMYFUNCTION("GOOGLETRANSLATE(C1244,""auto"",""en"")"),"Toaster")</f>
        <v>Toaster</v>
      </c>
    </row>
    <row r="1245" spans="1:9" ht="13" x14ac:dyDescent="0.15">
      <c r="A1245" s="2" t="s">
        <v>1216</v>
      </c>
      <c r="B1245" s="2" t="s">
        <v>1233</v>
      </c>
      <c r="C1245" s="2" t="s">
        <v>1257</v>
      </c>
      <c r="D1245" s="3">
        <v>479314</v>
      </c>
      <c r="E1245" s="3">
        <v>91177</v>
      </c>
      <c r="F1245" s="3">
        <v>6</v>
      </c>
      <c r="G1245" s="3" t="s">
        <v>1219</v>
      </c>
      <c r="H1245" s="3" t="str">
        <f ca="1">IFERROR(__xludf.DUMMYFUNCTION("GOOGLETRANSLATE(B1245,""auto"",""en"")"),"Kitchen Appliances")</f>
        <v>Kitchen Appliances</v>
      </c>
      <c r="I1245" s="3" t="str">
        <f ca="1">IFERROR(__xludf.DUMMYFUNCTION("GOOGLETRANSLATE(C1245,""auto"",""en"")"),"ice cream machine")</f>
        <v>ice cream machine</v>
      </c>
    </row>
    <row r="1246" spans="1:9" ht="13" x14ac:dyDescent="0.15">
      <c r="A1246" s="2" t="s">
        <v>1216</v>
      </c>
      <c r="B1246" s="2" t="s">
        <v>1233</v>
      </c>
      <c r="C1246" s="2" t="s">
        <v>1258</v>
      </c>
      <c r="D1246" s="3">
        <v>479314</v>
      </c>
      <c r="E1246" s="3">
        <v>91177</v>
      </c>
      <c r="F1246" s="3">
        <v>6</v>
      </c>
      <c r="G1246" s="3" t="s">
        <v>1219</v>
      </c>
      <c r="H1246" s="3" t="str">
        <f ca="1">IFERROR(__xludf.DUMMYFUNCTION("GOOGLETRANSLATE(B1246,""auto"",""en"")"),"Kitchen Appliances")</f>
        <v>Kitchen Appliances</v>
      </c>
      <c r="I1246" s="3" t="str">
        <f ca="1">IFERROR(__xludf.DUMMYFUNCTION("GOOGLETRANSLATE(C1246,""auto"",""en"")"),"Coffee machine")</f>
        <v>Coffee machine</v>
      </c>
    </row>
    <row r="1247" spans="1:9" ht="13" x14ac:dyDescent="0.15">
      <c r="A1247" s="2" t="s">
        <v>1216</v>
      </c>
      <c r="B1247" s="2" t="s">
        <v>1233</v>
      </c>
      <c r="C1247" s="2" t="s">
        <v>1259</v>
      </c>
      <c r="D1247" s="3">
        <v>479314</v>
      </c>
      <c r="E1247" s="3">
        <v>91177</v>
      </c>
      <c r="F1247" s="3">
        <v>2</v>
      </c>
      <c r="G1247" s="3" t="s">
        <v>1219</v>
      </c>
      <c r="H1247" s="3" t="str">
        <f ca="1">IFERROR(__xludf.DUMMYFUNCTION("GOOGLETRANSLATE(B1247,""auto"",""en"")"),"Kitchen Appliances")</f>
        <v>Kitchen Appliances</v>
      </c>
      <c r="I1247" s="3" t="str">
        <f ca="1">IFERROR(__xludf.DUMMYFUNCTION("GOOGLETRANSLATE(C1247,""auto"",""en"")"),"Microwave oven")</f>
        <v>Microwave oven</v>
      </c>
    </row>
    <row r="1248" spans="1:9" ht="13" x14ac:dyDescent="0.15">
      <c r="A1248" s="2" t="s">
        <v>1216</v>
      </c>
      <c r="B1248" s="2" t="s">
        <v>1233</v>
      </c>
      <c r="C1248" s="2" t="s">
        <v>1260</v>
      </c>
      <c r="D1248" s="3">
        <v>479314</v>
      </c>
      <c r="E1248" s="3">
        <v>91177</v>
      </c>
      <c r="F1248" s="3">
        <v>1</v>
      </c>
      <c r="G1248" s="3" t="s">
        <v>1219</v>
      </c>
      <c r="H1248" s="3" t="str">
        <f ca="1">IFERROR(__xludf.DUMMYFUNCTION("GOOGLETRANSLATE(B1248,""auto"",""en"")"),"Kitchen Appliances")</f>
        <v>Kitchen Appliances</v>
      </c>
      <c r="I1248" s="3" t="str">
        <f ca="1">IFERROR(__xludf.DUMMYFUNCTION("GOOGLETRANSLATE(C1248,""auto"",""en"")"),"Fryer")</f>
        <v>Fryer</v>
      </c>
    </row>
    <row r="1249" spans="1:9" ht="13" x14ac:dyDescent="0.15">
      <c r="A1249" s="2" t="s">
        <v>1216</v>
      </c>
      <c r="B1249" s="2" t="s">
        <v>1261</v>
      </c>
      <c r="C1249" s="2" t="s">
        <v>1262</v>
      </c>
      <c r="D1249" s="3">
        <v>479314</v>
      </c>
      <c r="E1249" s="3">
        <v>18500</v>
      </c>
      <c r="F1249" s="3">
        <v>2869</v>
      </c>
      <c r="G1249" s="3" t="s">
        <v>1219</v>
      </c>
      <c r="H1249" s="3" t="str">
        <f ca="1">IFERROR(__xludf.DUMMYFUNCTION("GOOGLETRANSLATE(B1249,""auto"",""en"")"),"A care appliances")</f>
        <v>A care appliances</v>
      </c>
      <c r="I1249" s="3" t="str">
        <f ca="1">IFERROR(__xludf.DUMMYFUNCTION("GOOGLETRANSLATE(C1249,""auto"",""en"")"),"Shaver")</f>
        <v>Shaver</v>
      </c>
    </row>
    <row r="1250" spans="1:9" ht="13" x14ac:dyDescent="0.15">
      <c r="A1250" s="2" t="s">
        <v>1216</v>
      </c>
      <c r="B1250" s="2" t="s">
        <v>1261</v>
      </c>
      <c r="C1250" s="2" t="s">
        <v>751</v>
      </c>
      <c r="D1250" s="3">
        <v>479314</v>
      </c>
      <c r="E1250" s="3">
        <v>18500</v>
      </c>
      <c r="F1250" s="3">
        <v>2797</v>
      </c>
      <c r="G1250" s="3" t="s">
        <v>1219</v>
      </c>
      <c r="H1250" s="3" t="str">
        <f ca="1">IFERROR(__xludf.DUMMYFUNCTION("GOOGLETRANSLATE(B1250,""auto"",""en"")"),"A care appliances")</f>
        <v>A care appliances</v>
      </c>
      <c r="I1250" s="3" t="str">
        <f ca="1">IFERROR(__xludf.DUMMYFUNCTION("GOOGLETRANSLATE(C1250,""auto"",""en"")"),"Hair clipper")</f>
        <v>Hair clipper</v>
      </c>
    </row>
    <row r="1251" spans="1:9" ht="13" x14ac:dyDescent="0.15">
      <c r="A1251" s="2" t="s">
        <v>1216</v>
      </c>
      <c r="B1251" s="2" t="s">
        <v>1261</v>
      </c>
      <c r="C1251" s="2" t="s">
        <v>1263</v>
      </c>
      <c r="D1251" s="3">
        <v>479314</v>
      </c>
      <c r="E1251" s="3">
        <v>18500</v>
      </c>
      <c r="F1251" s="3">
        <v>2476</v>
      </c>
      <c r="G1251" s="3" t="s">
        <v>1219</v>
      </c>
      <c r="H1251" s="3" t="str">
        <f ca="1">IFERROR(__xludf.DUMMYFUNCTION("GOOGLETRANSLATE(B1251,""auto"",""en"")"),"A care appliances")</f>
        <v>A care appliances</v>
      </c>
      <c r="I1251" s="3" t="str">
        <f ca="1">IFERROR(__xludf.DUMMYFUNCTION("GOOGLETRANSLATE(C1251,""auto"",""en"")"),"thermometer")</f>
        <v>thermometer</v>
      </c>
    </row>
    <row r="1252" spans="1:9" ht="13" x14ac:dyDescent="0.15">
      <c r="A1252" s="2" t="s">
        <v>1216</v>
      </c>
      <c r="B1252" s="2" t="s">
        <v>1261</v>
      </c>
      <c r="C1252" s="2" t="s">
        <v>1264</v>
      </c>
      <c r="D1252" s="3">
        <v>479314</v>
      </c>
      <c r="E1252" s="3">
        <v>18500</v>
      </c>
      <c r="F1252" s="3">
        <v>2444</v>
      </c>
      <c r="G1252" s="3" t="s">
        <v>1219</v>
      </c>
      <c r="H1252" s="3" t="str">
        <f ca="1">IFERROR(__xludf.DUMMYFUNCTION("GOOGLETRANSLATE(B1252,""auto"",""en"")"),"A care appliances")</f>
        <v>A care appliances</v>
      </c>
      <c r="I1252" s="3" t="str">
        <f ca="1">IFERROR(__xludf.DUMMYFUNCTION("GOOGLETRANSLATE(C1252,""auto"",""en"")"),"hair dryer")</f>
        <v>hair dryer</v>
      </c>
    </row>
    <row r="1253" spans="1:9" ht="13" x14ac:dyDescent="0.15">
      <c r="A1253" s="2" t="s">
        <v>1216</v>
      </c>
      <c r="B1253" s="2" t="s">
        <v>1261</v>
      </c>
      <c r="C1253" s="2" t="s">
        <v>1265</v>
      </c>
      <c r="D1253" s="3">
        <v>479314</v>
      </c>
      <c r="E1253" s="3">
        <v>18500</v>
      </c>
      <c r="F1253" s="3">
        <v>2428</v>
      </c>
      <c r="G1253" s="3" t="s">
        <v>1219</v>
      </c>
      <c r="H1253" s="3" t="str">
        <f ca="1">IFERROR(__xludf.DUMMYFUNCTION("GOOGLETRANSLATE(B1253,""auto"",""en"")"),"A care appliances")</f>
        <v>A care appliances</v>
      </c>
      <c r="I1253" s="3" t="str">
        <f ca="1">IFERROR(__xludf.DUMMYFUNCTION("GOOGLETRANSLATE(C1253,""auto"",""en"")"),"Other more care appliances")</f>
        <v>Other more care appliances</v>
      </c>
    </row>
    <row r="1254" spans="1:9" ht="13" x14ac:dyDescent="0.15">
      <c r="A1254" s="2" t="s">
        <v>1216</v>
      </c>
      <c r="B1254" s="2" t="s">
        <v>1261</v>
      </c>
      <c r="C1254" s="2" t="s">
        <v>1266</v>
      </c>
      <c r="D1254" s="3">
        <v>479314</v>
      </c>
      <c r="E1254" s="3">
        <v>18500</v>
      </c>
      <c r="F1254" s="3">
        <v>1118</v>
      </c>
      <c r="G1254" s="3" t="s">
        <v>1219</v>
      </c>
      <c r="H1254" s="3" t="str">
        <f ca="1">IFERROR(__xludf.DUMMYFUNCTION("GOOGLETRANSLATE(B1254,""auto"",""en"")"),"A care appliances")</f>
        <v>A care appliances</v>
      </c>
      <c r="I1254" s="3" t="str">
        <f ca="1">IFERROR(__xludf.DUMMYFUNCTION("GOOGLETRANSLATE(C1254,""auto"",""en"")"),"Massage equipment")</f>
        <v>Massage equipment</v>
      </c>
    </row>
    <row r="1255" spans="1:9" ht="13" x14ac:dyDescent="0.15">
      <c r="A1255" s="2" t="s">
        <v>1216</v>
      </c>
      <c r="B1255" s="2" t="s">
        <v>1261</v>
      </c>
      <c r="C1255" s="2" t="s">
        <v>1267</v>
      </c>
      <c r="D1255" s="3">
        <v>479314</v>
      </c>
      <c r="E1255" s="3">
        <v>18500</v>
      </c>
      <c r="F1255" s="3">
        <v>823</v>
      </c>
      <c r="G1255" s="3" t="s">
        <v>1219</v>
      </c>
      <c r="H1255" s="3" t="str">
        <f ca="1">IFERROR(__xludf.DUMMYFUNCTION("GOOGLETRANSLATE(B1255,""auto"",""en"")"),"A care appliances")</f>
        <v>A care appliances</v>
      </c>
      <c r="I1255" s="3" t="str">
        <f ca="1">IFERROR(__xludf.DUMMYFUNCTION("GOOGLETRANSLATE(C1255,""auto"",""en"")"),"Shave epilator")</f>
        <v>Shave epilator</v>
      </c>
    </row>
    <row r="1256" spans="1:9" ht="13" x14ac:dyDescent="0.15">
      <c r="A1256" s="2" t="s">
        <v>1216</v>
      </c>
      <c r="B1256" s="2" t="s">
        <v>1261</v>
      </c>
      <c r="C1256" s="2" t="s">
        <v>1268</v>
      </c>
      <c r="D1256" s="3">
        <v>479314</v>
      </c>
      <c r="E1256" s="3">
        <v>18500</v>
      </c>
      <c r="F1256" s="3">
        <v>781</v>
      </c>
      <c r="G1256" s="3" t="s">
        <v>1219</v>
      </c>
      <c r="H1256" s="3" t="str">
        <f ca="1">IFERROR(__xludf.DUMMYFUNCTION("GOOGLETRANSLATE(B1256,""auto"",""en"")"),"A care appliances")</f>
        <v>A care appliances</v>
      </c>
      <c r="I1256" s="3" t="str">
        <f ca="1">IFERROR(__xludf.DUMMYFUNCTION("GOOGLETRANSLATE(C1256,""auto"",""en"")"),"Volume / hair straighteners")</f>
        <v>Volume / hair straighteners</v>
      </c>
    </row>
    <row r="1257" spans="1:9" ht="13" x14ac:dyDescent="0.15">
      <c r="A1257" s="2" t="s">
        <v>1216</v>
      </c>
      <c r="B1257" s="2" t="s">
        <v>1261</v>
      </c>
      <c r="C1257" s="2" t="s">
        <v>1269</v>
      </c>
      <c r="D1257" s="3">
        <v>479314</v>
      </c>
      <c r="E1257" s="3">
        <v>18500</v>
      </c>
      <c r="F1257" s="3">
        <v>732</v>
      </c>
      <c r="G1257" s="3" t="s">
        <v>1219</v>
      </c>
      <c r="H1257" s="3" t="str">
        <f ca="1">IFERROR(__xludf.DUMMYFUNCTION("GOOGLETRANSLATE(B1257,""auto"",""en"")"),"A care appliances")</f>
        <v>A care appliances</v>
      </c>
      <c r="I1257" s="3" t="str">
        <f ca="1">IFERROR(__xludf.DUMMYFUNCTION("GOOGLETRANSLATE(C1257,""auto"",""en"")"),"Health Scale")</f>
        <v>Health Scale</v>
      </c>
    </row>
    <row r="1258" spans="1:9" ht="13" x14ac:dyDescent="0.15">
      <c r="A1258" s="2" t="s">
        <v>1216</v>
      </c>
      <c r="B1258" s="2" t="s">
        <v>1261</v>
      </c>
      <c r="C1258" s="2" t="s">
        <v>1270</v>
      </c>
      <c r="D1258" s="3">
        <v>479314</v>
      </c>
      <c r="E1258" s="3">
        <v>18500</v>
      </c>
      <c r="F1258" s="3">
        <v>686</v>
      </c>
      <c r="G1258" s="3" t="s">
        <v>1219</v>
      </c>
      <c r="H1258" s="3" t="str">
        <f ca="1">IFERROR(__xludf.DUMMYFUNCTION("GOOGLETRANSLATE(B1258,""auto"",""en"")"),"A care appliances")</f>
        <v>A care appliances</v>
      </c>
      <c r="I1258" s="3" t="str">
        <f ca="1">IFERROR(__xludf.DUMMYFUNCTION("GOOGLETRANSLATE(C1258,""auto"",""en"")"),"Beauty Equipment")</f>
        <v>Beauty Equipment</v>
      </c>
    </row>
    <row r="1259" spans="1:9" ht="13" x14ac:dyDescent="0.15">
      <c r="A1259" s="2" t="s">
        <v>1216</v>
      </c>
      <c r="B1259" s="2" t="s">
        <v>1261</v>
      </c>
      <c r="C1259" s="2" t="s">
        <v>1271</v>
      </c>
      <c r="D1259" s="3">
        <v>479314</v>
      </c>
      <c r="E1259" s="3">
        <v>18500</v>
      </c>
      <c r="F1259" s="3">
        <v>493</v>
      </c>
      <c r="G1259" s="3" t="s">
        <v>1219</v>
      </c>
      <c r="H1259" s="3" t="str">
        <f ca="1">IFERROR(__xludf.DUMMYFUNCTION("GOOGLETRANSLATE(B1259,""auto"",""en"")"),"A care appliances")</f>
        <v>A care appliances</v>
      </c>
      <c r="I1259" s="3" t="str">
        <f ca="1">IFERROR(__xludf.DUMMYFUNCTION("GOOGLETRANSLATE(C1259,""auto"",""en"")"),"sphygmomanometer")</f>
        <v>sphygmomanometer</v>
      </c>
    </row>
    <row r="1260" spans="1:9" ht="13" x14ac:dyDescent="0.15">
      <c r="A1260" s="2" t="s">
        <v>1216</v>
      </c>
      <c r="B1260" s="2" t="s">
        <v>1261</v>
      </c>
      <c r="C1260" s="2" t="s">
        <v>1272</v>
      </c>
      <c r="D1260" s="3">
        <v>479314</v>
      </c>
      <c r="E1260" s="3">
        <v>18500</v>
      </c>
      <c r="F1260" s="3">
        <v>293</v>
      </c>
      <c r="G1260" s="3" t="s">
        <v>1219</v>
      </c>
      <c r="H1260" s="3" t="str">
        <f ca="1">IFERROR(__xludf.DUMMYFUNCTION("GOOGLETRANSLATE(B1260,""auto"",""en"")"),"A care appliances")</f>
        <v>A care appliances</v>
      </c>
      <c r="I1260" s="3" t="str">
        <f ca="1">IFERROR(__xludf.DUMMYFUNCTION("GOOGLETRANSLATE(C1260,""auto"",""en"")"),"Slimming equipment")</f>
        <v>Slimming equipment</v>
      </c>
    </row>
    <row r="1261" spans="1:9" ht="13" x14ac:dyDescent="0.15">
      <c r="A1261" s="2" t="s">
        <v>1216</v>
      </c>
      <c r="B1261" s="2" t="s">
        <v>1261</v>
      </c>
      <c r="C1261" s="2" t="s">
        <v>1273</v>
      </c>
      <c r="D1261" s="3">
        <v>479314</v>
      </c>
      <c r="E1261" s="3">
        <v>18500</v>
      </c>
      <c r="F1261" s="3">
        <v>270</v>
      </c>
      <c r="G1261" s="3" t="s">
        <v>1219</v>
      </c>
      <c r="H1261" s="3" t="str">
        <f ca="1">IFERROR(__xludf.DUMMYFUNCTION("GOOGLETRANSLATE(B1261,""auto"",""en"")"),"A care appliances")</f>
        <v>A care appliances</v>
      </c>
      <c r="I1261" s="3" t="str">
        <f ca="1">IFERROR(__xludf.DUMMYFUNCTION("GOOGLETRANSLATE(C1261,""auto"",""en"")"),"Atomizer")</f>
        <v>Atomizer</v>
      </c>
    </row>
    <row r="1262" spans="1:9" ht="13" x14ac:dyDescent="0.15">
      <c r="A1262" s="2" t="s">
        <v>1216</v>
      </c>
      <c r="B1262" s="2" t="s">
        <v>1261</v>
      </c>
      <c r="C1262" s="2" t="s">
        <v>1274</v>
      </c>
      <c r="D1262" s="3">
        <v>479314</v>
      </c>
      <c r="E1262" s="3">
        <v>18500</v>
      </c>
      <c r="F1262" s="3">
        <v>100</v>
      </c>
      <c r="G1262" s="3" t="s">
        <v>1219</v>
      </c>
      <c r="H1262" s="3" t="str">
        <f ca="1">IFERROR(__xludf.DUMMYFUNCTION("GOOGLETRANSLATE(B1262,""auto"",""en"")"),"A care appliances")</f>
        <v>A care appliances</v>
      </c>
      <c r="I1262" s="3" t="str">
        <f ca="1">IFERROR(__xludf.DUMMYFUNCTION("GOOGLETRANSLATE(C1262,""auto"",""en"")"),"Other health appliances")</f>
        <v>Other health appliances</v>
      </c>
    </row>
    <row r="1263" spans="1:9" ht="13" x14ac:dyDescent="0.15">
      <c r="A1263" s="2" t="s">
        <v>1216</v>
      </c>
      <c r="B1263" s="2" t="s">
        <v>1261</v>
      </c>
      <c r="C1263" s="2" t="s">
        <v>783</v>
      </c>
      <c r="D1263" s="3">
        <v>479314</v>
      </c>
      <c r="E1263" s="3">
        <v>18500</v>
      </c>
      <c r="F1263" s="3">
        <v>97</v>
      </c>
      <c r="G1263" s="3" t="s">
        <v>1219</v>
      </c>
      <c r="H1263" s="3" t="str">
        <f ca="1">IFERROR(__xludf.DUMMYFUNCTION("GOOGLETRANSLATE(B1263,""auto"",""en"")"),"A care appliances")</f>
        <v>A care appliances</v>
      </c>
      <c r="I1263" s="3" t="str">
        <f ca="1">IFERROR(__xludf.DUMMYFUNCTION("GOOGLETRANSLATE(C1263,""auto"",""en"")"),"electric toothbrush")</f>
        <v>electric toothbrush</v>
      </c>
    </row>
    <row r="1264" spans="1:9" ht="13" x14ac:dyDescent="0.15">
      <c r="A1264" s="2" t="s">
        <v>1216</v>
      </c>
      <c r="B1264" s="2" t="s">
        <v>1261</v>
      </c>
      <c r="C1264" s="2" t="s">
        <v>1275</v>
      </c>
      <c r="D1264" s="3">
        <v>479314</v>
      </c>
      <c r="E1264" s="3">
        <v>18500</v>
      </c>
      <c r="F1264" s="3">
        <v>50</v>
      </c>
      <c r="G1264" s="3" t="s">
        <v>1219</v>
      </c>
      <c r="H1264" s="3" t="str">
        <f ca="1">IFERROR(__xludf.DUMMYFUNCTION("GOOGLETRANSLATE(B1264,""auto"",""en"")"),"A care appliances")</f>
        <v>A care appliances</v>
      </c>
      <c r="I1264" s="3" t="str">
        <f ca="1">IFERROR(__xludf.DUMMYFUNCTION("GOOGLETRANSLATE(C1264,""auto"",""en"")"),"Foot tub")</f>
        <v>Foot tub</v>
      </c>
    </row>
    <row r="1265" spans="1:9" ht="13" x14ac:dyDescent="0.15">
      <c r="A1265" s="2" t="s">
        <v>1216</v>
      </c>
      <c r="B1265" s="2" t="s">
        <v>1261</v>
      </c>
      <c r="C1265" s="2" t="s">
        <v>1276</v>
      </c>
      <c r="D1265" s="3">
        <v>479314</v>
      </c>
      <c r="E1265" s="3">
        <v>18500</v>
      </c>
      <c r="F1265" s="3">
        <v>41</v>
      </c>
      <c r="G1265" s="3" t="s">
        <v>1219</v>
      </c>
      <c r="H1265" s="3" t="str">
        <f ca="1">IFERROR(__xludf.DUMMYFUNCTION("GOOGLETRANSLATE(B1265,""auto"",""en"")"),"A care appliances")</f>
        <v>A care appliances</v>
      </c>
      <c r="I1265" s="3" t="str">
        <f ca="1">IFERROR(__xludf.DUMMYFUNCTION("GOOGLETRANSLATE(C1265,""auto"",""en"")"),"ECG monitoring / fetal favorite")</f>
        <v>ECG monitoring / fetal favorite</v>
      </c>
    </row>
    <row r="1266" spans="1:9" ht="13" x14ac:dyDescent="0.15">
      <c r="A1266" s="2" t="s">
        <v>1216</v>
      </c>
      <c r="B1266" s="2" t="s">
        <v>1261</v>
      </c>
      <c r="C1266" s="2" t="s">
        <v>1277</v>
      </c>
      <c r="D1266" s="3">
        <v>479314</v>
      </c>
      <c r="E1266" s="3">
        <v>18500</v>
      </c>
      <c r="F1266" s="3">
        <v>2</v>
      </c>
      <c r="G1266" s="3" t="s">
        <v>1219</v>
      </c>
      <c r="H1266" s="3" t="str">
        <f ca="1">IFERROR(__xludf.DUMMYFUNCTION("GOOGLETRANSLATE(B1266,""auto"",""en"")"),"A care appliances")</f>
        <v>A care appliances</v>
      </c>
      <c r="I1266" s="3" t="str">
        <f ca="1">IFERROR(__xludf.DUMMYFUNCTION("GOOGLETRANSLATE(C1266,""auto"",""en"")"),"Blood glucose meter")</f>
        <v>Blood glucose meter</v>
      </c>
    </row>
    <row r="1267" spans="1:9" ht="13" x14ac:dyDescent="0.15">
      <c r="A1267" s="2" t="s">
        <v>1216</v>
      </c>
      <c r="B1267" s="2" t="s">
        <v>1278</v>
      </c>
      <c r="C1267" s="2" t="s">
        <v>1278</v>
      </c>
      <c r="D1267" s="3">
        <v>479314</v>
      </c>
      <c r="E1267" s="3">
        <v>865</v>
      </c>
      <c r="F1267" s="3">
        <v>865</v>
      </c>
      <c r="G1267" s="3" t="s">
        <v>1219</v>
      </c>
      <c r="H1267" s="3" t="str">
        <f ca="1">IFERROR(__xludf.DUMMYFUNCTION("GOOGLETRANSLATE(B1267,""auto"",""en"")"),"Class kitchen appliances")</f>
        <v>Class kitchen appliances</v>
      </c>
      <c r="I1267" s="3" t="str">
        <f ca="1">IFERROR(__xludf.DUMMYFUNCTION("GOOGLETRANSLATE(C1267,""auto"",""en"")"),"Class kitchen appliances")</f>
        <v>Class kitchen appliances</v>
      </c>
    </row>
    <row r="1268" spans="1:9" ht="13" x14ac:dyDescent="0.15">
      <c r="A1268" s="2" t="s">
        <v>1216</v>
      </c>
      <c r="B1268" s="2" t="s">
        <v>1279</v>
      </c>
      <c r="C1268" s="2" t="s">
        <v>1279</v>
      </c>
      <c r="D1268" s="3">
        <v>479314</v>
      </c>
      <c r="E1268" s="3">
        <v>728</v>
      </c>
      <c r="F1268" s="3">
        <v>728</v>
      </c>
      <c r="G1268" s="3" t="s">
        <v>1219</v>
      </c>
      <c r="H1268" s="3" t="str">
        <f ca="1">IFERROR(__xludf.DUMMYFUNCTION("GOOGLETRANSLATE(B1268,""auto"",""en"")"),"A protected class appliances")</f>
        <v>A protected class appliances</v>
      </c>
      <c r="I1268" s="3" t="str">
        <f ca="1">IFERROR(__xludf.DUMMYFUNCTION("GOOGLETRANSLATE(C1268,""auto"",""en"")"),"A protected class appliances")</f>
        <v>A protected class appliances</v>
      </c>
    </row>
    <row r="1269" spans="1:9" ht="13" x14ac:dyDescent="0.15">
      <c r="A1269" s="2" t="s">
        <v>1216</v>
      </c>
      <c r="B1269" s="2" t="s">
        <v>1280</v>
      </c>
      <c r="C1269" s="2" t="s">
        <v>1280</v>
      </c>
      <c r="D1269" s="3">
        <v>479314</v>
      </c>
      <c r="E1269" s="3">
        <v>529</v>
      </c>
      <c r="F1269" s="3">
        <v>529</v>
      </c>
      <c r="G1269" s="3" t="s">
        <v>1219</v>
      </c>
      <c r="H1269" s="3" t="str">
        <f ca="1">IFERROR(__xludf.DUMMYFUNCTION("GOOGLETRANSLATE(B1269,""auto"",""en"")"),"Lifestyle appliances")</f>
        <v>Lifestyle appliances</v>
      </c>
      <c r="I1269" s="3" t="str">
        <f ca="1">IFERROR(__xludf.DUMMYFUNCTION("GOOGLETRANSLATE(C1269,""auto"",""en"")"),"Lifestyle appliances")</f>
        <v>Lifestyle appliances</v>
      </c>
    </row>
    <row r="1270" spans="1:9" ht="13" x14ac:dyDescent="0.15">
      <c r="A1270" s="2" t="s">
        <v>1216</v>
      </c>
      <c r="B1270" s="2" t="s">
        <v>1281</v>
      </c>
      <c r="C1270" s="2" t="s">
        <v>1281</v>
      </c>
      <c r="D1270" s="3">
        <v>479314</v>
      </c>
      <c r="E1270" s="3">
        <v>59</v>
      </c>
      <c r="F1270" s="3">
        <v>59</v>
      </c>
      <c r="G1270" s="3" t="s">
        <v>1219</v>
      </c>
      <c r="H1270" s="3" t="str">
        <f ca="1">IFERROR(__xludf.DUMMYFUNCTION("GOOGLETRANSLATE(B1270,""auto"",""en"")"),"Cellular phone")</f>
        <v>Cellular phone</v>
      </c>
      <c r="I1270" s="3" t="str">
        <f ca="1">IFERROR(__xludf.DUMMYFUNCTION("GOOGLETRANSLATE(C1270,""auto"",""en"")"),"Cellular phone")</f>
        <v>Cellular phone</v>
      </c>
    </row>
    <row r="1271" spans="1:9" ht="13" x14ac:dyDescent="0.15">
      <c r="A1271" s="2" t="s">
        <v>1216</v>
      </c>
      <c r="B1271" s="2" t="s">
        <v>1282</v>
      </c>
      <c r="C1271" s="2" t="s">
        <v>1283</v>
      </c>
      <c r="D1271" s="3">
        <v>479314</v>
      </c>
      <c r="E1271" s="3">
        <v>50</v>
      </c>
      <c r="F1271" s="3">
        <v>46</v>
      </c>
      <c r="G1271" s="3" t="s">
        <v>1219</v>
      </c>
      <c r="H1271" s="3" t="str">
        <f ca="1">IFERROR(__xludf.DUMMYFUNCTION("GOOGLETRANSLATE(B1271,""auto"",""en"")"),"Mobile Phone Accessories")</f>
        <v>Mobile Phone Accessories</v>
      </c>
      <c r="I1271" s="3" t="str">
        <f ca="1">IFERROR(__xludf.DUMMYFUNCTION("GOOGLETRANSLATE(C1271,""auto"",""en"")"),"Phone holder / mobile phone holder")</f>
        <v>Phone holder / mobile phone holder</v>
      </c>
    </row>
    <row r="1272" spans="1:9" ht="13" x14ac:dyDescent="0.15">
      <c r="A1272" s="2" t="s">
        <v>1216</v>
      </c>
      <c r="B1272" s="2" t="s">
        <v>1282</v>
      </c>
      <c r="C1272" s="2" t="s">
        <v>1284</v>
      </c>
      <c r="D1272" s="3">
        <v>479314</v>
      </c>
      <c r="E1272" s="3">
        <v>50</v>
      </c>
      <c r="F1272" s="3">
        <v>1</v>
      </c>
      <c r="G1272" s="3" t="s">
        <v>1219</v>
      </c>
      <c r="H1272" s="3" t="str">
        <f ca="1">IFERROR(__xludf.DUMMYFUNCTION("GOOGLETRANSLATE(B1272,""auto"",""en"")"),"Mobile Phone Accessories")</f>
        <v>Mobile Phone Accessories</v>
      </c>
      <c r="I1272" s="3" t="str">
        <f ca="1">IFERROR(__xludf.DUMMYFUNCTION("GOOGLETRANSLATE(C1272,""auto"",""en"")"),"Mobile Phone Cases")</f>
        <v>Mobile Phone Cases</v>
      </c>
    </row>
    <row r="1273" spans="1:9" ht="13" x14ac:dyDescent="0.15">
      <c r="A1273" s="2" t="s">
        <v>1216</v>
      </c>
      <c r="B1273" s="2" t="s">
        <v>1282</v>
      </c>
      <c r="C1273" s="2" t="s">
        <v>1285</v>
      </c>
      <c r="D1273" s="3">
        <v>479314</v>
      </c>
      <c r="E1273" s="3">
        <v>50</v>
      </c>
      <c r="F1273" s="3">
        <v>1</v>
      </c>
      <c r="G1273" s="3" t="s">
        <v>1219</v>
      </c>
      <c r="H1273" s="3" t="str">
        <f ca="1">IFERROR(__xludf.DUMMYFUNCTION("GOOGLETRANSLATE(B1273,""auto"",""en"")"),"Mobile Phone Accessories")</f>
        <v>Mobile Phone Accessories</v>
      </c>
      <c r="I1273" s="3" t="str">
        <f ca="1">IFERROR(__xludf.DUMMYFUNCTION("GOOGLETRANSLATE(C1273,""auto"",""en"")"),"Cell phone camera accessories")</f>
        <v>Cell phone camera accessories</v>
      </c>
    </row>
    <row r="1274" spans="1:9" ht="13" x14ac:dyDescent="0.15">
      <c r="A1274" s="2" t="s">
        <v>1216</v>
      </c>
      <c r="B1274" s="2" t="s">
        <v>1282</v>
      </c>
      <c r="C1274" s="2" t="s">
        <v>1286</v>
      </c>
      <c r="D1274" s="3">
        <v>479314</v>
      </c>
      <c r="E1274" s="3">
        <v>50</v>
      </c>
      <c r="F1274" s="3">
        <v>1</v>
      </c>
      <c r="G1274" s="3" t="s">
        <v>1219</v>
      </c>
      <c r="H1274" s="3" t="str">
        <f ca="1">IFERROR(__xludf.DUMMYFUNCTION("GOOGLETRANSLATE(B1274,""auto"",""en"")"),"Mobile Phone Accessories")</f>
        <v>Mobile Phone Accessories</v>
      </c>
      <c r="I1274" s="3" t="str">
        <f ca="1">IFERROR(__xludf.DUMMYFUNCTION("GOOGLETRANSLATE(C1274,""auto"",""en"")"),"Cellphone data line")</f>
        <v>Cellphone data line</v>
      </c>
    </row>
    <row r="1275" spans="1:9" ht="13" x14ac:dyDescent="0.15">
      <c r="A1275" s="2" t="s">
        <v>1216</v>
      </c>
      <c r="B1275" s="2" t="s">
        <v>1282</v>
      </c>
      <c r="C1275" s="2" t="s">
        <v>1287</v>
      </c>
      <c r="D1275" s="3">
        <v>479314</v>
      </c>
      <c r="E1275" s="3">
        <v>50</v>
      </c>
      <c r="F1275" s="3">
        <v>1</v>
      </c>
      <c r="G1275" s="3" t="s">
        <v>1219</v>
      </c>
      <c r="H1275" s="3" t="str">
        <f ca="1">IFERROR(__xludf.DUMMYFUNCTION("GOOGLETRANSLATE(B1275,""auto"",""en"")"),"Mobile Phone Accessories")</f>
        <v>Mobile Phone Accessories</v>
      </c>
      <c r="I1275" s="3" t="str">
        <f ca="1">IFERROR(__xludf.DUMMYFUNCTION("GOOGLETRANSLATE(C1275,""auto"",""en"")"),"Mobile phone film")</f>
        <v>Mobile phone film</v>
      </c>
    </row>
    <row r="1276" spans="1:9" ht="13" x14ac:dyDescent="0.15">
      <c r="A1276" s="2" t="s">
        <v>1216</v>
      </c>
      <c r="B1276" s="2" t="s">
        <v>1288</v>
      </c>
      <c r="C1276" s="2" t="s">
        <v>1288</v>
      </c>
      <c r="D1276" s="3">
        <v>479314</v>
      </c>
      <c r="E1276" s="3">
        <v>44</v>
      </c>
      <c r="F1276" s="3">
        <v>44</v>
      </c>
      <c r="G1276" s="3" t="s">
        <v>1219</v>
      </c>
      <c r="H1276" s="3" t="str">
        <f ca="1">IFERROR(__xludf.DUMMYFUNCTION("GOOGLETRANSLATE(B1276,""auto"",""en"")"),"Audio-visual appliances")</f>
        <v>Audio-visual appliances</v>
      </c>
      <c r="I1276" s="3" t="str">
        <f ca="1">IFERROR(__xludf.DUMMYFUNCTION("GOOGLETRANSLATE(C1276,""auto"",""en"")"),"Audio-visual appliances")</f>
        <v>Audio-visual appliances</v>
      </c>
    </row>
    <row r="1277" spans="1:9" ht="13" x14ac:dyDescent="0.15">
      <c r="A1277" s="2" t="s">
        <v>1289</v>
      </c>
      <c r="B1277" s="2" t="s">
        <v>1290</v>
      </c>
      <c r="C1277" s="2" t="s">
        <v>1290</v>
      </c>
      <c r="D1277" s="3">
        <v>340682</v>
      </c>
      <c r="E1277" s="3">
        <v>99068</v>
      </c>
      <c r="F1277" s="3">
        <v>99068</v>
      </c>
      <c r="G1277" s="3" t="s">
        <v>1291</v>
      </c>
      <c r="H1277" s="3" t="str">
        <f ca="1">IFERROR(__xludf.DUMMYFUNCTION("GOOGLETRANSLATE(B1277,""auto"",""en"")"),"Underpants")</f>
        <v>Underpants</v>
      </c>
      <c r="I1277" s="3" t="str">
        <f ca="1">IFERROR(__xludf.DUMMYFUNCTION("GOOGLETRANSLATE(C1277,""auto"",""en"")"),"Underpants")</f>
        <v>Underpants</v>
      </c>
    </row>
    <row r="1278" spans="1:9" ht="13" x14ac:dyDescent="0.15">
      <c r="A1278" s="2" t="s">
        <v>1289</v>
      </c>
      <c r="B1278" s="2" t="s">
        <v>1292</v>
      </c>
      <c r="C1278" s="2" t="s">
        <v>1292</v>
      </c>
      <c r="D1278" s="3">
        <v>340682</v>
      </c>
      <c r="E1278" s="3">
        <v>92615</v>
      </c>
      <c r="F1278" s="3">
        <v>92615</v>
      </c>
      <c r="G1278" s="3" t="s">
        <v>1291</v>
      </c>
      <c r="H1278" s="3" t="str">
        <f ca="1">IFERROR(__xludf.DUMMYFUNCTION("GOOGLETRANSLATE(B1278,""auto"",""en"")"),"Sock / socks / stockings /")</f>
        <v>Sock / socks / stockings /</v>
      </c>
      <c r="I1278" s="3" t="str">
        <f ca="1">IFERROR(__xludf.DUMMYFUNCTION("GOOGLETRANSLATE(C1278,""auto"",""en"")"),"Sock / socks / stockings /")</f>
        <v>Sock / socks / stockings /</v>
      </c>
    </row>
    <row r="1279" spans="1:9" ht="13" x14ac:dyDescent="0.15">
      <c r="A1279" s="2" t="s">
        <v>1289</v>
      </c>
      <c r="B1279" s="2" t="s">
        <v>1293</v>
      </c>
      <c r="C1279" s="2" t="s">
        <v>652</v>
      </c>
      <c r="D1279" s="3">
        <v>340682</v>
      </c>
      <c r="E1279" s="3">
        <v>80950</v>
      </c>
      <c r="F1279" s="3">
        <v>35699</v>
      </c>
      <c r="G1279" s="3" t="s">
        <v>1291</v>
      </c>
      <c r="H1279" s="3" t="str">
        <f ca="1">IFERROR(__xludf.DUMMYFUNCTION("GOOGLETRANSLATE(B1279,""auto"",""en"")"),"Pajamas / home service")</f>
        <v>Pajamas / home service</v>
      </c>
      <c r="I1279" s="3" t="str">
        <f ca="1">IFERROR(__xludf.DUMMYFUNCTION("GOOGLETRANSLATE(C1279,""auto"",""en"")"),"pajamas")</f>
        <v>pajamas</v>
      </c>
    </row>
    <row r="1280" spans="1:9" ht="13" x14ac:dyDescent="0.15">
      <c r="A1280" s="2" t="s">
        <v>1289</v>
      </c>
      <c r="B1280" s="2" t="s">
        <v>1293</v>
      </c>
      <c r="C1280" s="2" t="s">
        <v>1294</v>
      </c>
      <c r="D1280" s="3">
        <v>340682</v>
      </c>
      <c r="E1280" s="3">
        <v>80950</v>
      </c>
      <c r="F1280" s="3">
        <v>26472</v>
      </c>
      <c r="G1280" s="3" t="s">
        <v>1291</v>
      </c>
      <c r="H1280" s="3" t="str">
        <f ca="1">IFERROR(__xludf.DUMMYFUNCTION("GOOGLETRANSLATE(B1280,""auto"",""en"")"),"Pajamas / home service")</f>
        <v>Pajamas / home service</v>
      </c>
      <c r="I1280" s="3" t="str">
        <f ca="1">IFERROR(__xludf.DUMMYFUNCTION("GOOGLETRANSLATE(C1280,""auto"",""en"")"),"Loungewear")</f>
        <v>Loungewear</v>
      </c>
    </row>
    <row r="1281" spans="1:9" ht="13" x14ac:dyDescent="0.15">
      <c r="A1281" s="2" t="s">
        <v>1289</v>
      </c>
      <c r="B1281" s="2" t="s">
        <v>1293</v>
      </c>
      <c r="C1281" s="2" t="s">
        <v>650</v>
      </c>
      <c r="D1281" s="3">
        <v>340682</v>
      </c>
      <c r="E1281" s="3">
        <v>80950</v>
      </c>
      <c r="F1281" s="3">
        <v>18165</v>
      </c>
      <c r="G1281" s="3" t="s">
        <v>1291</v>
      </c>
      <c r="H1281" s="3" t="str">
        <f ca="1">IFERROR(__xludf.DUMMYFUNCTION("GOOGLETRANSLATE(B1281,""auto"",""en"")"),"Pajamas / home service")</f>
        <v>Pajamas / home service</v>
      </c>
      <c r="I1281" s="3" t="str">
        <f ca="1">IFERROR(__xludf.DUMMYFUNCTION("GOOGLETRANSLATE(C1281,""auto"",""en"")"),"Nightdress")</f>
        <v>Nightdress</v>
      </c>
    </row>
    <row r="1282" spans="1:9" ht="13" x14ac:dyDescent="0.15">
      <c r="A1282" s="2" t="s">
        <v>1289</v>
      </c>
      <c r="B1282" s="2" t="s">
        <v>1293</v>
      </c>
      <c r="C1282" s="2" t="s">
        <v>1295</v>
      </c>
      <c r="D1282" s="3">
        <v>340682</v>
      </c>
      <c r="E1282" s="3">
        <v>80950</v>
      </c>
      <c r="F1282" s="3">
        <v>499</v>
      </c>
      <c r="G1282" s="3" t="s">
        <v>1291</v>
      </c>
      <c r="H1282" s="3" t="str">
        <f ca="1">IFERROR(__xludf.DUMMYFUNCTION("GOOGLETRANSLATE(B1282,""auto"",""en"")"),"Pajamas / home service")</f>
        <v>Pajamas / home service</v>
      </c>
      <c r="I1282" s="3" t="str">
        <f ca="1">IFERROR(__xludf.DUMMYFUNCTION("GOOGLETRANSLATE(C1282,""auto"",""en"")"),"Robe / bathrobe")</f>
        <v>Robe / bathrobe</v>
      </c>
    </row>
    <row r="1283" spans="1:9" ht="13" x14ac:dyDescent="0.15">
      <c r="A1283" s="2" t="s">
        <v>1289</v>
      </c>
      <c r="B1283" s="2" t="s">
        <v>1293</v>
      </c>
      <c r="C1283" s="2" t="s">
        <v>658</v>
      </c>
      <c r="D1283" s="3">
        <v>340682</v>
      </c>
      <c r="E1283" s="3">
        <v>80950</v>
      </c>
      <c r="F1283" s="3">
        <v>115</v>
      </c>
      <c r="G1283" s="3" t="s">
        <v>1291</v>
      </c>
      <c r="H1283" s="3" t="str">
        <f ca="1">IFERROR(__xludf.DUMMYFUNCTION("GOOGLETRANSLATE(B1283,""auto"",""en"")"),"Pajamas / home service")</f>
        <v>Pajamas / home service</v>
      </c>
      <c r="I1283" s="3" t="str">
        <f ca="1">IFERROR(__xludf.DUMMYFUNCTION("GOOGLETRANSLATE(C1283,""auto"",""en"")"),"Pajamas")</f>
        <v>Pajamas</v>
      </c>
    </row>
    <row r="1284" spans="1:9" ht="13" x14ac:dyDescent="0.15">
      <c r="A1284" s="2" t="s">
        <v>1289</v>
      </c>
      <c r="B1284" s="2" t="s">
        <v>1296</v>
      </c>
      <c r="C1284" s="2" t="s">
        <v>1296</v>
      </c>
      <c r="D1284" s="3">
        <v>340682</v>
      </c>
      <c r="E1284" s="3">
        <v>45519</v>
      </c>
      <c r="F1284" s="3">
        <v>45519</v>
      </c>
      <c r="G1284" s="3" t="s">
        <v>1291</v>
      </c>
      <c r="H1284" s="3" t="str">
        <f ca="1">IFERROR(__xludf.DUMMYFUNCTION("GOOGLETRANSLATE(B1284,""auto"",""en"")"),"Bra")</f>
        <v>Bra</v>
      </c>
      <c r="I1284" s="3" t="str">
        <f ca="1">IFERROR(__xludf.DUMMYFUNCTION("GOOGLETRANSLATE(C1284,""auto"",""en"")"),"Bra")</f>
        <v>Bra</v>
      </c>
    </row>
    <row r="1285" spans="1:9" ht="13" x14ac:dyDescent="0.15">
      <c r="A1285" s="2" t="s">
        <v>1289</v>
      </c>
      <c r="B1285" s="2" t="s">
        <v>1297</v>
      </c>
      <c r="C1285" s="2" t="s">
        <v>1297</v>
      </c>
      <c r="D1285" s="3">
        <v>340682</v>
      </c>
      <c r="E1285" s="3">
        <v>6409</v>
      </c>
      <c r="F1285" s="3">
        <v>6409</v>
      </c>
      <c r="G1285" s="3" t="s">
        <v>1291</v>
      </c>
      <c r="H1285" s="3" t="str">
        <f ca="1">IFERROR(__xludf.DUMMYFUNCTION("GOOGLETRANSLATE(B1285,""auto"",""en"")"),"Harness / vest / T Xu")</f>
        <v>Harness / vest / T Xu</v>
      </c>
      <c r="I1285" s="3" t="str">
        <f ca="1">IFERROR(__xludf.DUMMYFUNCTION("GOOGLETRANSLATE(C1285,""auto"",""en"")"),"Harness / vest / T Xu")</f>
        <v>Harness / vest / T Xu</v>
      </c>
    </row>
    <row r="1286" spans="1:9" ht="13" x14ac:dyDescent="0.15">
      <c r="A1286" s="2" t="s">
        <v>1289</v>
      </c>
      <c r="B1286" s="2" t="s">
        <v>1298</v>
      </c>
      <c r="C1286" s="2" t="s">
        <v>1298</v>
      </c>
      <c r="D1286" s="3">
        <v>340682</v>
      </c>
      <c r="E1286" s="3">
        <v>5110</v>
      </c>
      <c r="F1286" s="3">
        <v>5110</v>
      </c>
      <c r="G1286" s="3" t="s">
        <v>1291</v>
      </c>
      <c r="H1286" s="3" t="str">
        <f ca="1">IFERROR(__xludf.DUMMYFUNCTION("GOOGLETRANSLATE(B1286,""auto"",""en"")"),"Underwear Accessories")</f>
        <v>Underwear Accessories</v>
      </c>
      <c r="I1286" s="3" t="str">
        <f ca="1">IFERROR(__xludf.DUMMYFUNCTION("GOOGLETRANSLATE(C1286,""auto"",""en"")"),"Underwear Accessories")</f>
        <v>Underwear Accessories</v>
      </c>
    </row>
    <row r="1287" spans="1:9" ht="13" x14ac:dyDescent="0.15">
      <c r="A1287" s="2" t="s">
        <v>1289</v>
      </c>
      <c r="B1287" s="2" t="s">
        <v>1299</v>
      </c>
      <c r="C1287" s="2" t="s">
        <v>1299</v>
      </c>
      <c r="D1287" s="3">
        <v>340682</v>
      </c>
      <c r="E1287" s="3">
        <v>3149</v>
      </c>
      <c r="F1287" s="3">
        <v>3149</v>
      </c>
      <c r="G1287" s="3" t="s">
        <v>1291</v>
      </c>
      <c r="H1287" s="3" t="str">
        <f ca="1">IFERROR(__xludf.DUMMYFUNCTION("GOOGLETRANSLATE(B1287,""auto"",""en"")"),"Bra / apron")</f>
        <v>Bra / apron</v>
      </c>
      <c r="I1287" s="3" t="str">
        <f ca="1">IFERROR(__xludf.DUMMYFUNCTION("GOOGLETRANSLATE(C1287,""auto"",""en"")"),"Bra / apron")</f>
        <v>Bra / apron</v>
      </c>
    </row>
    <row r="1288" spans="1:9" ht="13" x14ac:dyDescent="0.15">
      <c r="A1288" s="2" t="s">
        <v>1289</v>
      </c>
      <c r="B1288" s="2" t="s">
        <v>1300</v>
      </c>
      <c r="C1288" s="2" t="s">
        <v>1300</v>
      </c>
      <c r="D1288" s="3">
        <v>340682</v>
      </c>
      <c r="E1288" s="3">
        <v>2491</v>
      </c>
      <c r="F1288" s="3">
        <v>2491</v>
      </c>
      <c r="G1288" s="3" t="s">
        <v>1291</v>
      </c>
      <c r="H1288" s="3" t="str">
        <f ca="1">IFERROR(__xludf.DUMMYFUNCTION("GOOGLETRANSLATE(B1288,""auto"",""en"")"),"Body sculpting pants")</f>
        <v>Body sculpting pants</v>
      </c>
      <c r="I1288" s="3" t="str">
        <f ca="1">IFERROR(__xludf.DUMMYFUNCTION("GOOGLETRANSLATE(C1288,""auto"",""en"")"),"Body sculpting pants")</f>
        <v>Body sculpting pants</v>
      </c>
    </row>
    <row r="1289" spans="1:9" ht="13" x14ac:dyDescent="0.15">
      <c r="A1289" s="2" t="s">
        <v>1289</v>
      </c>
      <c r="B1289" s="2" t="s">
        <v>1301</v>
      </c>
      <c r="C1289" s="2" t="s">
        <v>1301</v>
      </c>
      <c r="D1289" s="3">
        <v>340682</v>
      </c>
      <c r="E1289" s="3">
        <v>2305</v>
      </c>
      <c r="F1289" s="3">
        <v>2305</v>
      </c>
      <c r="G1289" s="3" t="s">
        <v>1291</v>
      </c>
      <c r="H1289" s="3" t="str">
        <f ca="1">IFERROR(__xludf.DUMMYFUNCTION("GOOGLETRANSLATE(B1289,""auto"",""en"")"),"Bra Sets")</f>
        <v>Bra Sets</v>
      </c>
      <c r="I1289" s="3" t="str">
        <f ca="1">IFERROR(__xludf.DUMMYFUNCTION("GOOGLETRANSLATE(C1289,""auto"",""en"")"),"Bra Sets")</f>
        <v>Bra Sets</v>
      </c>
    </row>
    <row r="1290" spans="1:9" ht="13" x14ac:dyDescent="0.15">
      <c r="A1290" s="2" t="s">
        <v>1289</v>
      </c>
      <c r="B1290" s="2" t="s">
        <v>1302</v>
      </c>
      <c r="C1290" s="2" t="s">
        <v>1302</v>
      </c>
      <c r="D1290" s="3">
        <v>340682</v>
      </c>
      <c r="E1290" s="3">
        <v>1460</v>
      </c>
      <c r="F1290" s="3">
        <v>1460</v>
      </c>
      <c r="G1290" s="3" t="s">
        <v>1291</v>
      </c>
      <c r="H1290" s="3" t="str">
        <f ca="1">IFERROR(__xludf.DUMMYFUNCTION("GOOGLETRANSLATE(B1290,""auto"",""en"")"),"Body sculpting suits / coveralls")</f>
        <v>Body sculpting suits / coveralls</v>
      </c>
      <c r="I1290" s="3" t="str">
        <f ca="1">IFERROR(__xludf.DUMMYFUNCTION("GOOGLETRANSLATE(C1290,""auto"",""en"")"),"Body sculpting suits / coveralls")</f>
        <v>Body sculpting suits / coveralls</v>
      </c>
    </row>
    <row r="1291" spans="1:9" ht="13" x14ac:dyDescent="0.15">
      <c r="A1291" s="2" t="s">
        <v>1289</v>
      </c>
      <c r="B1291" s="2" t="s">
        <v>1303</v>
      </c>
      <c r="C1291" s="2" t="s">
        <v>1303</v>
      </c>
      <c r="D1291" s="3">
        <v>340682</v>
      </c>
      <c r="E1291" s="3">
        <v>742</v>
      </c>
      <c r="F1291" s="3">
        <v>742</v>
      </c>
      <c r="G1291" s="3" t="s">
        <v>1291</v>
      </c>
      <c r="H1291" s="3" t="str">
        <f ca="1">IFERROR(__xludf.DUMMYFUNCTION("GOOGLETRANSLATE(B1291,""auto"",""en"")"),"Body sculpting T-shirt")</f>
        <v>Body sculpting T-shirt</v>
      </c>
      <c r="I1291" s="3" t="str">
        <f ca="1">IFERROR(__xludf.DUMMYFUNCTION("GOOGLETRANSLATE(C1291,""auto"",""en"")"),"Body sculpting T-shirt")</f>
        <v>Body sculpting T-shirt</v>
      </c>
    </row>
    <row r="1292" spans="1:9" ht="13" x14ac:dyDescent="0.15">
      <c r="A1292" s="2" t="s">
        <v>1289</v>
      </c>
      <c r="B1292" s="2" t="s">
        <v>1304</v>
      </c>
      <c r="C1292" s="2" t="s">
        <v>655</v>
      </c>
      <c r="D1292" s="3">
        <v>340682</v>
      </c>
      <c r="E1292" s="3">
        <v>729</v>
      </c>
      <c r="F1292" s="3">
        <v>376</v>
      </c>
      <c r="G1292" s="3" t="s">
        <v>1291</v>
      </c>
      <c r="H1292" s="3" t="str">
        <f ca="1">IFERROR(__xludf.DUMMYFUNCTION("GOOGLETRANSLATE(B1292,""auto"",""en"")"),"thermal underwear")</f>
        <v>thermal underwear</v>
      </c>
      <c r="I1292" s="3" t="str">
        <f ca="1">IFERROR(__xludf.DUMMYFUNCTION("GOOGLETRANSLATE(C1292,""auto"",""en"")"),"Warm coat")</f>
        <v>Warm coat</v>
      </c>
    </row>
    <row r="1293" spans="1:9" ht="13" x14ac:dyDescent="0.15">
      <c r="A1293" s="2" t="s">
        <v>1289</v>
      </c>
      <c r="B1293" s="2" t="s">
        <v>1304</v>
      </c>
      <c r="C1293" s="2" t="s">
        <v>1305</v>
      </c>
      <c r="D1293" s="3">
        <v>340682</v>
      </c>
      <c r="E1293" s="3">
        <v>729</v>
      </c>
      <c r="F1293" s="3">
        <v>209</v>
      </c>
      <c r="G1293" s="3" t="s">
        <v>1291</v>
      </c>
      <c r="H1293" s="3" t="str">
        <f ca="1">IFERROR(__xludf.DUMMYFUNCTION("GOOGLETRANSLATE(B1293,""auto"",""en"")"),"thermal underwear")</f>
        <v>thermal underwear</v>
      </c>
      <c r="I1293" s="3" t="str">
        <f ca="1">IFERROR(__xludf.DUMMYFUNCTION("GOOGLETRANSLATE(C1293,""auto"",""en"")"),"Warm suit")</f>
        <v>Warm suit</v>
      </c>
    </row>
    <row r="1294" spans="1:9" ht="13" x14ac:dyDescent="0.15">
      <c r="A1294" s="2" t="s">
        <v>1289</v>
      </c>
      <c r="B1294" s="2" t="s">
        <v>1304</v>
      </c>
      <c r="C1294" s="2" t="s">
        <v>656</v>
      </c>
      <c r="D1294" s="3">
        <v>340682</v>
      </c>
      <c r="E1294" s="3">
        <v>729</v>
      </c>
      <c r="F1294" s="3">
        <v>144</v>
      </c>
      <c r="G1294" s="3" t="s">
        <v>1291</v>
      </c>
      <c r="H1294" s="3" t="str">
        <f ca="1">IFERROR(__xludf.DUMMYFUNCTION("GOOGLETRANSLATE(B1294,""auto"",""en"")"),"thermal underwear")</f>
        <v>thermal underwear</v>
      </c>
      <c r="I1294" s="3" t="str">
        <f ca="1">IFERROR(__xludf.DUMMYFUNCTION("GOOGLETRANSLATE(C1294,""auto"",""en"")"),"Warm pants")</f>
        <v>Warm pants</v>
      </c>
    </row>
    <row r="1295" spans="1:9" ht="13" x14ac:dyDescent="0.15">
      <c r="A1295" s="2" t="s">
        <v>1289</v>
      </c>
      <c r="B1295" s="2" t="s">
        <v>1306</v>
      </c>
      <c r="C1295" s="2" t="s">
        <v>1306</v>
      </c>
      <c r="D1295" s="3">
        <v>340682</v>
      </c>
      <c r="E1295" s="3">
        <v>83</v>
      </c>
      <c r="F1295" s="3">
        <v>83</v>
      </c>
      <c r="G1295" s="3" t="s">
        <v>1291</v>
      </c>
      <c r="H1295" s="3" t="str">
        <f ca="1">IFERROR(__xludf.DUMMYFUNCTION("GOOGLETRANSLATE(B1295,""auto"",""en"")"),"Milk paste")</f>
        <v>Milk paste</v>
      </c>
      <c r="I1295" s="3" t="str">
        <f ca="1">IFERROR(__xludf.DUMMYFUNCTION("GOOGLETRANSLATE(C1295,""auto"",""en"")"),"Milk paste")</f>
        <v>Milk paste</v>
      </c>
    </row>
    <row r="1296" spans="1:9" ht="13" x14ac:dyDescent="0.15">
      <c r="A1296" s="2" t="s">
        <v>1289</v>
      </c>
      <c r="B1296" s="2" t="s">
        <v>1307</v>
      </c>
      <c r="C1296" s="2" t="s">
        <v>1307</v>
      </c>
      <c r="D1296" s="3">
        <v>340682</v>
      </c>
      <c r="E1296" s="3">
        <v>41</v>
      </c>
      <c r="F1296" s="3">
        <v>41</v>
      </c>
      <c r="G1296" s="3" t="s">
        <v>1291</v>
      </c>
      <c r="H1296" s="3" t="str">
        <f ca="1">IFERROR(__xludf.DUMMYFUNCTION("GOOGLETRANSLATE(B1296,""auto"",""en"")"),"Body sculpting girdle / belt clip")</f>
        <v>Body sculpting girdle / belt clip</v>
      </c>
      <c r="I1296" s="3" t="str">
        <f ca="1">IFERROR(__xludf.DUMMYFUNCTION("GOOGLETRANSLATE(C1296,""auto"",""en"")"),"Body sculpting girdle / belt clip")</f>
        <v>Body sculpting girdle / belt clip</v>
      </c>
    </row>
    <row r="1297" spans="1:9" ht="13" x14ac:dyDescent="0.15">
      <c r="A1297" s="2" t="s">
        <v>1289</v>
      </c>
      <c r="B1297" s="2" t="s">
        <v>1308</v>
      </c>
      <c r="C1297" s="2" t="s">
        <v>1308</v>
      </c>
      <c r="D1297" s="3">
        <v>340682</v>
      </c>
      <c r="E1297" s="3">
        <v>11</v>
      </c>
      <c r="F1297" s="3">
        <v>11</v>
      </c>
      <c r="G1297" s="3" t="s">
        <v>1291</v>
      </c>
      <c r="H1297" s="3" t="str">
        <f ca="1">IFERROR(__xludf.DUMMYFUNCTION("GOOGLETRANSLATE(B1297,""auto"",""en"")"),"Garters")</f>
        <v>Garters</v>
      </c>
      <c r="I1297" s="3" t="str">
        <f ca="1">IFERROR(__xludf.DUMMYFUNCTION("GOOGLETRANSLATE(C1297,""auto"",""en"")"),"Garters")</f>
        <v>Garters</v>
      </c>
    </row>
    <row r="1298" spans="1:9" ht="13" x14ac:dyDescent="0.15">
      <c r="A1298" s="2" t="s">
        <v>1309</v>
      </c>
      <c r="B1298" s="2" t="s">
        <v>1310</v>
      </c>
      <c r="C1298" s="2" t="s">
        <v>1310</v>
      </c>
      <c r="D1298" s="3">
        <v>314892</v>
      </c>
      <c r="E1298" s="3">
        <v>164829</v>
      </c>
      <c r="F1298" s="3">
        <v>164829</v>
      </c>
      <c r="G1298" s="3" t="str">
        <f ca="1">IFERROR(__xludf.DUMMYFUNCTION("GOOGLETRANSLATE(A1298,""auto"",""en"")"),"Children's shoes")</f>
        <v>Children's shoes</v>
      </c>
      <c r="H1298" s="3" t="str">
        <f ca="1">IFERROR(__xludf.DUMMYFUNCTION("GOOGLETRANSLATE(B1298,""auto"",""en"")"),"sandals")</f>
        <v>sandals</v>
      </c>
      <c r="I1298" s="3" t="str">
        <f ca="1">IFERROR(__xludf.DUMMYFUNCTION("GOOGLETRANSLATE(C1298,""auto"",""en"")"),"sandals")</f>
        <v>sandals</v>
      </c>
    </row>
    <row r="1299" spans="1:9" ht="13" x14ac:dyDescent="0.15">
      <c r="A1299" s="2" t="s">
        <v>1309</v>
      </c>
      <c r="B1299" s="2" t="s">
        <v>1311</v>
      </c>
      <c r="C1299" s="2" t="s">
        <v>1311</v>
      </c>
      <c r="D1299" s="3">
        <v>314892</v>
      </c>
      <c r="E1299" s="3">
        <v>40146</v>
      </c>
      <c r="F1299" s="3">
        <v>40146</v>
      </c>
      <c r="G1299" s="3" t="str">
        <f ca="1">IFERROR(__xludf.DUMMYFUNCTION("GOOGLETRANSLATE(A1299,""auto"",""en"")"),"Children's shoes")</f>
        <v>Children's shoes</v>
      </c>
      <c r="H1299" s="3" t="str">
        <f ca="1">IFERROR(__xludf.DUMMYFUNCTION("GOOGLETRANSLATE(B1299,""auto"",""en"")"),"flip flop")</f>
        <v>flip flop</v>
      </c>
      <c r="I1299" s="3" t="str">
        <f ca="1">IFERROR(__xludf.DUMMYFUNCTION("GOOGLETRANSLATE(C1299,""auto"",""en"")"),"flip flop")</f>
        <v>flip flop</v>
      </c>
    </row>
    <row r="1300" spans="1:9" ht="13" x14ac:dyDescent="0.15">
      <c r="A1300" s="2" t="s">
        <v>1309</v>
      </c>
      <c r="B1300" s="2" t="s">
        <v>1312</v>
      </c>
      <c r="C1300" s="2" t="s">
        <v>1313</v>
      </c>
      <c r="D1300" s="3">
        <v>314892</v>
      </c>
      <c r="E1300" s="3">
        <v>38080</v>
      </c>
      <c r="F1300" s="3">
        <v>20660</v>
      </c>
      <c r="G1300" s="3" t="str">
        <f ca="1">IFERROR(__xludf.DUMMYFUNCTION("GOOGLETRANSLATE(A1300,""auto"",""en"")"),"Children's shoes")</f>
        <v>Children's shoes</v>
      </c>
      <c r="H1300" s="3" t="str">
        <f ca="1">IFERROR(__xludf.DUMMYFUNCTION("GOOGLETRANSLATE(B1300,""auto"",""en"")"),"sports shoes")</f>
        <v>sports shoes</v>
      </c>
      <c r="I1300" s="3" t="str">
        <f ca="1">IFERROR(__xludf.DUMMYFUNCTION("GOOGLETRANSLATE(C1300,""auto"",""en"")"),"Mesh shoes")</f>
        <v>Mesh shoes</v>
      </c>
    </row>
    <row r="1301" spans="1:9" ht="13" x14ac:dyDescent="0.15">
      <c r="A1301" s="2" t="s">
        <v>1309</v>
      </c>
      <c r="B1301" s="2" t="s">
        <v>1312</v>
      </c>
      <c r="C1301" s="2" t="s">
        <v>1314</v>
      </c>
      <c r="D1301" s="3">
        <v>314892</v>
      </c>
      <c r="E1301" s="3">
        <v>38080</v>
      </c>
      <c r="F1301" s="3">
        <v>13585</v>
      </c>
      <c r="G1301" s="3" t="str">
        <f ca="1">IFERROR(__xludf.DUMMYFUNCTION("GOOGLETRANSLATE(A1301,""auto"",""en"")"),"Children's shoes")</f>
        <v>Children's shoes</v>
      </c>
      <c r="H1301" s="3" t="str">
        <f ca="1">IFERROR(__xludf.DUMMYFUNCTION("GOOGLETRANSLATE(B1301,""auto"",""en"")"),"sports shoes")</f>
        <v>sports shoes</v>
      </c>
      <c r="I1301" s="3" t="str">
        <f ca="1">IFERROR(__xludf.DUMMYFUNCTION("GOOGLETRANSLATE(C1301,""auto"",""en"")"),"casual shoes")</f>
        <v>casual shoes</v>
      </c>
    </row>
    <row r="1302" spans="1:9" ht="13" x14ac:dyDescent="0.15">
      <c r="A1302" s="2" t="s">
        <v>1309</v>
      </c>
      <c r="B1302" s="2" t="s">
        <v>1312</v>
      </c>
      <c r="C1302" s="2" t="s">
        <v>1315</v>
      </c>
      <c r="D1302" s="3">
        <v>314892</v>
      </c>
      <c r="E1302" s="3">
        <v>38080</v>
      </c>
      <c r="F1302" s="3">
        <v>2555</v>
      </c>
      <c r="G1302" s="3" t="str">
        <f ca="1">IFERROR(__xludf.DUMMYFUNCTION("GOOGLETRANSLATE(A1302,""auto"",""en"")"),"Children's shoes")</f>
        <v>Children's shoes</v>
      </c>
      <c r="H1302" s="3" t="str">
        <f ca="1">IFERROR(__xludf.DUMMYFUNCTION("GOOGLETRANSLATE(B1302,""auto"",""en"")"),"sports shoes")</f>
        <v>sports shoes</v>
      </c>
      <c r="I1302" s="3" t="str">
        <f ca="1">IFERROR(__xludf.DUMMYFUNCTION("GOOGLETRANSLATE(C1302,""auto"",""en"")"),"running shoes")</f>
        <v>running shoes</v>
      </c>
    </row>
    <row r="1303" spans="1:9" ht="13" x14ac:dyDescent="0.15">
      <c r="A1303" s="2" t="s">
        <v>1309</v>
      </c>
      <c r="B1303" s="2" t="s">
        <v>1312</v>
      </c>
      <c r="C1303" s="2" t="s">
        <v>1316</v>
      </c>
      <c r="D1303" s="3">
        <v>314892</v>
      </c>
      <c r="E1303" s="3">
        <v>38080</v>
      </c>
      <c r="F1303" s="3">
        <v>1065</v>
      </c>
      <c r="G1303" s="3" t="str">
        <f ca="1">IFERROR(__xludf.DUMMYFUNCTION("GOOGLETRANSLATE(A1303,""auto"",""en"")"),"Children's shoes")</f>
        <v>Children's shoes</v>
      </c>
      <c r="H1303" s="3" t="str">
        <f ca="1">IFERROR(__xludf.DUMMYFUNCTION("GOOGLETRANSLATE(B1303,""auto"",""en"")"),"sports shoes")</f>
        <v>sports shoes</v>
      </c>
      <c r="I1303" s="3" t="str">
        <f ca="1">IFERROR(__xludf.DUMMYFUNCTION("GOOGLETRANSLATE(C1303,""auto"",""en"")"),"Shoes")</f>
        <v>Shoes</v>
      </c>
    </row>
    <row r="1304" spans="1:9" ht="13" x14ac:dyDescent="0.15">
      <c r="A1304" s="2" t="s">
        <v>1309</v>
      </c>
      <c r="B1304" s="2" t="s">
        <v>1312</v>
      </c>
      <c r="C1304" s="2" t="s">
        <v>1317</v>
      </c>
      <c r="D1304" s="3">
        <v>314892</v>
      </c>
      <c r="E1304" s="3">
        <v>38080</v>
      </c>
      <c r="F1304" s="3">
        <v>115</v>
      </c>
      <c r="G1304" s="3" t="str">
        <f ca="1">IFERROR(__xludf.DUMMYFUNCTION("GOOGLETRANSLATE(A1304,""auto"",""en"")"),"Children's shoes")</f>
        <v>Children's shoes</v>
      </c>
      <c r="H1304" s="3" t="str">
        <f ca="1">IFERROR(__xludf.DUMMYFUNCTION("GOOGLETRANSLATE(B1304,""auto"",""en"")"),"sports shoes")</f>
        <v>sports shoes</v>
      </c>
      <c r="I1304" s="3" t="str">
        <f ca="1">IFERROR(__xludf.DUMMYFUNCTION("GOOGLETRANSLATE(C1304,""auto"",""en"")"),"Almighty shoes")</f>
        <v>Almighty shoes</v>
      </c>
    </row>
    <row r="1305" spans="1:9" ht="13" x14ac:dyDescent="0.15">
      <c r="A1305" s="2" t="s">
        <v>1309</v>
      </c>
      <c r="B1305" s="2" t="s">
        <v>1312</v>
      </c>
      <c r="C1305" s="2" t="s">
        <v>1318</v>
      </c>
      <c r="D1305" s="3">
        <v>314892</v>
      </c>
      <c r="E1305" s="3">
        <v>38080</v>
      </c>
      <c r="F1305" s="3">
        <v>58</v>
      </c>
      <c r="G1305" s="3" t="str">
        <f ca="1">IFERROR(__xludf.DUMMYFUNCTION("GOOGLETRANSLATE(A1305,""auto"",""en"")"),"Children's shoes")</f>
        <v>Children's shoes</v>
      </c>
      <c r="H1305" s="3" t="str">
        <f ca="1">IFERROR(__xludf.DUMMYFUNCTION("GOOGLETRANSLATE(B1305,""auto"",""en"")"),"sports shoes")</f>
        <v>sports shoes</v>
      </c>
      <c r="I1305" s="3" t="str">
        <f ca="1">IFERROR(__xludf.DUMMYFUNCTION("GOOGLETRANSLATE(C1305,""auto"",""en"")"),"soccer shoes")</f>
        <v>soccer shoes</v>
      </c>
    </row>
    <row r="1306" spans="1:9" ht="13" x14ac:dyDescent="0.15">
      <c r="A1306" s="2" t="s">
        <v>1309</v>
      </c>
      <c r="B1306" s="2" t="s">
        <v>1312</v>
      </c>
      <c r="C1306" s="2" t="s">
        <v>1319</v>
      </c>
      <c r="D1306" s="3">
        <v>314892</v>
      </c>
      <c r="E1306" s="3">
        <v>38080</v>
      </c>
      <c r="F1306" s="3">
        <v>29</v>
      </c>
      <c r="G1306" s="3" t="str">
        <f ca="1">IFERROR(__xludf.DUMMYFUNCTION("GOOGLETRANSLATE(A1306,""auto"",""en"")"),"Children's shoes")</f>
        <v>Children's shoes</v>
      </c>
      <c r="H1306" s="3" t="str">
        <f ca="1">IFERROR(__xludf.DUMMYFUNCTION("GOOGLETRANSLATE(B1306,""auto"",""en"")"),"sports shoes")</f>
        <v>sports shoes</v>
      </c>
      <c r="I1306" s="3" t="str">
        <f ca="1">IFERROR(__xludf.DUMMYFUNCTION("GOOGLETRANSLATE(C1306,""auto"",""en"")"),"Hiking shoes / outdoor shoes")</f>
        <v>Hiking shoes / outdoor shoes</v>
      </c>
    </row>
    <row r="1307" spans="1:9" ht="13" x14ac:dyDescent="0.15">
      <c r="A1307" s="2" t="s">
        <v>1309</v>
      </c>
      <c r="B1307" s="2" t="s">
        <v>1312</v>
      </c>
      <c r="C1307" s="2" t="s">
        <v>1320</v>
      </c>
      <c r="D1307" s="3">
        <v>314892</v>
      </c>
      <c r="E1307" s="3">
        <v>38080</v>
      </c>
      <c r="F1307" s="3">
        <v>13</v>
      </c>
      <c r="G1307" s="3" t="str">
        <f ca="1">IFERROR(__xludf.DUMMYFUNCTION("GOOGLETRANSLATE(A1307,""auto"",""en"")"),"Children's shoes")</f>
        <v>Children's shoes</v>
      </c>
      <c r="H1307" s="3" t="str">
        <f ca="1">IFERROR(__xludf.DUMMYFUNCTION("GOOGLETRANSLATE(B1307,""auto"",""en"")"),"sports shoes")</f>
        <v>sports shoes</v>
      </c>
      <c r="I1307" s="3" t="str">
        <f ca="1">IFERROR(__xludf.DUMMYFUNCTION("GOOGLETRANSLATE(C1307,""auto"",""en"")"),"Basketball shoes")</f>
        <v>Basketball shoes</v>
      </c>
    </row>
    <row r="1308" spans="1:9" ht="13" x14ac:dyDescent="0.15">
      <c r="A1308" s="2" t="s">
        <v>1309</v>
      </c>
      <c r="B1308" s="2" t="s">
        <v>1312</v>
      </c>
      <c r="C1308" s="2" t="s">
        <v>1321</v>
      </c>
      <c r="D1308" s="3">
        <v>314892</v>
      </c>
      <c r="E1308" s="3">
        <v>38080</v>
      </c>
      <c r="F1308" s="3">
        <v>2</v>
      </c>
      <c r="G1308" s="3" t="str">
        <f ca="1">IFERROR(__xludf.DUMMYFUNCTION("GOOGLETRANSLATE(A1308,""auto"",""en"")"),"Children's shoes")</f>
        <v>Children's shoes</v>
      </c>
      <c r="H1308" s="3" t="str">
        <f ca="1">IFERROR(__xludf.DUMMYFUNCTION("GOOGLETRANSLATE(B1308,""auto"",""en"")"),"sports shoes")</f>
        <v>sports shoes</v>
      </c>
      <c r="I1308" s="3" t="str">
        <f ca="1">IFERROR(__xludf.DUMMYFUNCTION("GOOGLETRANSLATE(C1308,""auto"",""en"")"),"Tennis shoes")</f>
        <v>Tennis shoes</v>
      </c>
    </row>
    <row r="1309" spans="1:9" ht="13" x14ac:dyDescent="0.15">
      <c r="A1309" s="2" t="s">
        <v>1309</v>
      </c>
      <c r="B1309" s="2" t="s">
        <v>1312</v>
      </c>
      <c r="C1309" s="2" t="s">
        <v>1322</v>
      </c>
      <c r="D1309" s="3">
        <v>314892</v>
      </c>
      <c r="E1309" s="3">
        <v>38080</v>
      </c>
      <c r="F1309" s="3">
        <v>1</v>
      </c>
      <c r="G1309" s="3" t="str">
        <f ca="1">IFERROR(__xludf.DUMMYFUNCTION("GOOGLETRANSLATE(A1309,""auto"",""en"")"),"Children's shoes")</f>
        <v>Children's shoes</v>
      </c>
      <c r="H1309" s="3" t="str">
        <f ca="1">IFERROR(__xludf.DUMMYFUNCTION("GOOGLETRANSLATE(B1309,""auto"",""en"")"),"sports shoes")</f>
        <v>sports shoes</v>
      </c>
      <c r="I1309" s="3" t="str">
        <f ca="1">IFERROR(__xludf.DUMMYFUNCTION("GOOGLETRANSLATE(C1309,""auto"",""en"")"),"Training shoes")</f>
        <v>Training shoes</v>
      </c>
    </row>
    <row r="1310" spans="1:9" ht="13" x14ac:dyDescent="0.15">
      <c r="A1310" s="2" t="s">
        <v>1309</v>
      </c>
      <c r="B1310" s="2" t="s">
        <v>1323</v>
      </c>
      <c r="C1310" s="2" t="s">
        <v>1323</v>
      </c>
      <c r="D1310" s="3">
        <v>314892</v>
      </c>
      <c r="E1310" s="3">
        <v>33019</v>
      </c>
      <c r="F1310" s="3">
        <v>33019</v>
      </c>
      <c r="G1310" s="3" t="str">
        <f ca="1">IFERROR(__xludf.DUMMYFUNCTION("GOOGLETRANSLATE(A1310,""auto"",""en"")"),"Children's shoes")</f>
        <v>Children's shoes</v>
      </c>
      <c r="H1310" s="3" t="str">
        <f ca="1">IFERROR(__xludf.DUMMYFUNCTION("GOOGLETRANSLATE(B1310,""auto"",""en"")"),"Toddler shoes")</f>
        <v>Toddler shoes</v>
      </c>
      <c r="I1310" s="3" t="str">
        <f ca="1">IFERROR(__xludf.DUMMYFUNCTION("GOOGLETRANSLATE(C1310,""auto"",""en"")"),"Toddler shoes")</f>
        <v>Toddler shoes</v>
      </c>
    </row>
    <row r="1311" spans="1:9" ht="13" x14ac:dyDescent="0.15">
      <c r="A1311" s="2" t="s">
        <v>1309</v>
      </c>
      <c r="B1311" s="2" t="s">
        <v>1324</v>
      </c>
      <c r="C1311" s="2" t="s">
        <v>1324</v>
      </c>
      <c r="D1311" s="3">
        <v>314892</v>
      </c>
      <c r="E1311" s="3">
        <v>11396</v>
      </c>
      <c r="F1311" s="3">
        <v>11396</v>
      </c>
      <c r="G1311" s="3" t="str">
        <f ca="1">IFERROR(__xludf.DUMMYFUNCTION("GOOGLETRANSLATE(A1311,""auto"",""en"")"),"Children's shoes")</f>
        <v>Children's shoes</v>
      </c>
      <c r="H1311" s="3" t="str">
        <f ca="1">IFERROR(__xludf.DUMMYFUNCTION("GOOGLETRANSLATE(B1311,""auto"",""en"")"),"canvas shoes")</f>
        <v>canvas shoes</v>
      </c>
      <c r="I1311" s="3" t="str">
        <f ca="1">IFERROR(__xludf.DUMMYFUNCTION("GOOGLETRANSLATE(C1311,""auto"",""en"")"),"canvas shoes")</f>
        <v>canvas shoes</v>
      </c>
    </row>
    <row r="1312" spans="1:9" ht="13" x14ac:dyDescent="0.15">
      <c r="A1312" s="2" t="s">
        <v>1309</v>
      </c>
      <c r="B1312" s="2" t="s">
        <v>1325</v>
      </c>
      <c r="C1312" s="2" t="s">
        <v>1326</v>
      </c>
      <c r="D1312" s="3">
        <v>314892</v>
      </c>
      <c r="E1312" s="3">
        <v>10031</v>
      </c>
      <c r="F1312" s="3">
        <v>8738</v>
      </c>
      <c r="G1312" s="3" t="str">
        <f ca="1">IFERROR(__xludf.DUMMYFUNCTION("GOOGLETRANSLATE(A1312,""auto"",""en"")"),"Children's shoes")</f>
        <v>Children's shoes</v>
      </c>
      <c r="H1312" s="3" t="str">
        <f ca="1">IFERROR(__xludf.DUMMYFUNCTION("GOOGLETRANSLATE(B1312,""auto"",""en"")"),"leather shoes")</f>
        <v>leather shoes</v>
      </c>
      <c r="I1312" s="3" t="str">
        <f ca="1">IFERROR(__xludf.DUMMYFUNCTION("GOOGLETRANSLATE(C1312,""auto"",""en"")"),"Other shoes")</f>
        <v>Other shoes</v>
      </c>
    </row>
    <row r="1313" spans="1:9" ht="13" x14ac:dyDescent="0.15">
      <c r="A1313" s="2" t="s">
        <v>1309</v>
      </c>
      <c r="B1313" s="2" t="s">
        <v>1325</v>
      </c>
      <c r="C1313" s="2" t="s">
        <v>1327</v>
      </c>
      <c r="D1313" s="3">
        <v>314892</v>
      </c>
      <c r="E1313" s="3">
        <v>10031</v>
      </c>
      <c r="F1313" s="3">
        <v>1293</v>
      </c>
      <c r="G1313" s="3" t="str">
        <f ca="1">IFERROR(__xludf.DUMMYFUNCTION("GOOGLETRANSLATE(A1313,""auto"",""en"")"),"Children's shoes")</f>
        <v>Children's shoes</v>
      </c>
      <c r="H1313" s="3" t="str">
        <f ca="1">IFERROR(__xludf.DUMMYFUNCTION("GOOGLETRANSLATE(B1313,""auto"",""en"")"),"leather shoes")</f>
        <v>leather shoes</v>
      </c>
      <c r="I1313" s="3" t="str">
        <f ca="1">IFERROR(__xludf.DUMMYFUNCTION("GOOGLETRANSLATE(C1313,""auto"",""en"")"),"Peas shoes / loafers / boat shoes")</f>
        <v>Peas shoes / loafers / boat shoes</v>
      </c>
    </row>
    <row r="1314" spans="1:9" ht="13" x14ac:dyDescent="0.15">
      <c r="A1314" s="2" t="s">
        <v>1309</v>
      </c>
      <c r="B1314" s="2" t="s">
        <v>1328</v>
      </c>
      <c r="C1314" s="2" t="s">
        <v>1328</v>
      </c>
      <c r="D1314" s="3">
        <v>314892</v>
      </c>
      <c r="E1314" s="3">
        <v>7343</v>
      </c>
      <c r="F1314" s="3">
        <v>7343</v>
      </c>
      <c r="G1314" s="3" t="str">
        <f ca="1">IFERROR(__xludf.DUMMYFUNCTION("GOOGLETRANSLATE(A1314,""auto"",""en"")"),"Children's shoes")</f>
        <v>Children's shoes</v>
      </c>
      <c r="H1314" s="3" t="str">
        <f ca="1">IFERROR(__xludf.DUMMYFUNCTION("GOOGLETRANSLATE(B1314,""auto"",""en"")"),"Function shoes")</f>
        <v>Function shoes</v>
      </c>
      <c r="I1314" s="3" t="str">
        <f ca="1">IFERROR(__xludf.DUMMYFUNCTION("GOOGLETRANSLATE(C1314,""auto"",""en"")"),"Function shoes")</f>
        <v>Function shoes</v>
      </c>
    </row>
    <row r="1315" spans="1:9" ht="13" x14ac:dyDescent="0.15">
      <c r="A1315" s="2" t="s">
        <v>1309</v>
      </c>
      <c r="B1315" s="2" t="s">
        <v>1329</v>
      </c>
      <c r="C1315" s="2" t="s">
        <v>1329</v>
      </c>
      <c r="D1315" s="3">
        <v>314892</v>
      </c>
      <c r="E1315" s="3">
        <v>5048</v>
      </c>
      <c r="F1315" s="3">
        <v>5048</v>
      </c>
      <c r="G1315" s="3" t="str">
        <f ca="1">IFERROR(__xludf.DUMMYFUNCTION("GOOGLETRANSLATE(A1315,""auto"",""en"")"),"Children's shoes")</f>
        <v>Children's shoes</v>
      </c>
      <c r="H1315" s="3" t="str">
        <f ca="1">IFERROR(__xludf.DUMMYFUNCTION("GOOGLETRANSLATE(B1315,""auto"",""en"")"),"Hole shoes / sandals")</f>
        <v>Hole shoes / sandals</v>
      </c>
      <c r="I1315" s="3" t="str">
        <f ca="1">IFERROR(__xludf.DUMMYFUNCTION("GOOGLETRANSLATE(C1315,""auto"",""en"")"),"Hole shoes / sandals")</f>
        <v>Hole shoes / sandals</v>
      </c>
    </row>
    <row r="1316" spans="1:9" ht="13" x14ac:dyDescent="0.15">
      <c r="A1316" s="2" t="s">
        <v>1309</v>
      </c>
      <c r="B1316" s="2" t="s">
        <v>1330</v>
      </c>
      <c r="C1316" s="2" t="s">
        <v>1330</v>
      </c>
      <c r="D1316" s="3">
        <v>314892</v>
      </c>
      <c r="E1316" s="3">
        <v>1573</v>
      </c>
      <c r="F1316" s="3">
        <v>1573</v>
      </c>
      <c r="G1316" s="3" t="str">
        <f ca="1">IFERROR(__xludf.DUMMYFUNCTION("GOOGLETRANSLATE(A1316,""auto"",""en"")"),"Children's shoes")</f>
        <v>Children's shoes</v>
      </c>
      <c r="H1316" s="3" t="str">
        <f ca="1">IFERROR(__xludf.DUMMYFUNCTION("GOOGLETRANSLATE(B1316,""auto"",""en"")"),"Rain boots")</f>
        <v>Rain boots</v>
      </c>
      <c r="I1316" s="3" t="str">
        <f ca="1">IFERROR(__xludf.DUMMYFUNCTION("GOOGLETRANSLATE(C1316,""auto"",""en"")"),"Rain boots")</f>
        <v>Rain boots</v>
      </c>
    </row>
    <row r="1317" spans="1:9" ht="13" x14ac:dyDescent="0.15">
      <c r="A1317" s="2" t="s">
        <v>1309</v>
      </c>
      <c r="B1317" s="2" t="s">
        <v>1331</v>
      </c>
      <c r="C1317" s="2" t="s">
        <v>1331</v>
      </c>
      <c r="D1317" s="3">
        <v>314892</v>
      </c>
      <c r="E1317" s="3">
        <v>1083</v>
      </c>
      <c r="F1317" s="3">
        <v>1083</v>
      </c>
      <c r="G1317" s="3" t="str">
        <f ca="1">IFERROR(__xludf.DUMMYFUNCTION("GOOGLETRANSLATE(A1317,""auto"",""en"")"),"Children's shoes")</f>
        <v>Children's shoes</v>
      </c>
      <c r="H1317" s="3" t="str">
        <f ca="1">IFERROR(__xludf.DUMMYFUNCTION("GOOGLETRANSLATE(B1317,""auto"",""en"")"),"dancing shoes")</f>
        <v>dancing shoes</v>
      </c>
      <c r="I1317" s="3" t="str">
        <f ca="1">IFERROR(__xludf.DUMMYFUNCTION("GOOGLETRANSLATE(C1317,""auto"",""en"")"),"dancing shoes")</f>
        <v>dancing shoes</v>
      </c>
    </row>
    <row r="1318" spans="1:9" ht="13" x14ac:dyDescent="0.15">
      <c r="A1318" s="2" t="s">
        <v>1309</v>
      </c>
      <c r="B1318" s="2" t="s">
        <v>1332</v>
      </c>
      <c r="C1318" s="2" t="s">
        <v>1333</v>
      </c>
      <c r="D1318" s="3">
        <v>314892</v>
      </c>
      <c r="E1318" s="3">
        <v>927</v>
      </c>
      <c r="F1318" s="3">
        <v>670</v>
      </c>
      <c r="G1318" s="3" t="str">
        <f ca="1">IFERROR(__xludf.DUMMYFUNCTION("GOOGLETRANSLATE(A1318,""auto"",""en"")"),"Children's shoes")</f>
        <v>Children's shoes</v>
      </c>
      <c r="H1318" s="3" t="str">
        <f ca="1">IFERROR(__xludf.DUMMYFUNCTION("GOOGLETRANSLATE(B1318,""auto"",""en"")"),"boots")</f>
        <v>boots</v>
      </c>
      <c r="I1318" s="3" t="str">
        <f ca="1">IFERROR(__xludf.DUMMYFUNCTION("GOOGLETRANSLATE(C1318,""auto"",""en"")"),"Snow boots / cotton boots")</f>
        <v>Snow boots / cotton boots</v>
      </c>
    </row>
    <row r="1319" spans="1:9" ht="13" x14ac:dyDescent="0.15">
      <c r="A1319" s="2" t="s">
        <v>1309</v>
      </c>
      <c r="B1319" s="2" t="s">
        <v>1332</v>
      </c>
      <c r="C1319" s="2" t="s">
        <v>1334</v>
      </c>
      <c r="D1319" s="3">
        <v>314892</v>
      </c>
      <c r="E1319" s="3">
        <v>927</v>
      </c>
      <c r="F1319" s="3">
        <v>132</v>
      </c>
      <c r="G1319" s="3" t="str">
        <f ca="1">IFERROR(__xludf.DUMMYFUNCTION("GOOGLETRANSLATE(A1319,""auto"",""en"")"),"Children's shoes")</f>
        <v>Children's shoes</v>
      </c>
      <c r="H1319" s="3" t="str">
        <f ca="1">IFERROR(__xludf.DUMMYFUNCTION("GOOGLETRANSLATE(B1319,""auto"",""en"")"),"boots")</f>
        <v>boots</v>
      </c>
      <c r="I1319" s="3" t="str">
        <f ca="1">IFERROR(__xludf.DUMMYFUNCTION("GOOGLETRANSLATE(C1319,""auto"",""en"")"),"Boots")</f>
        <v>Boots</v>
      </c>
    </row>
    <row r="1320" spans="1:9" ht="13" x14ac:dyDescent="0.15">
      <c r="A1320" s="2" t="s">
        <v>1309</v>
      </c>
      <c r="B1320" s="2" t="s">
        <v>1332</v>
      </c>
      <c r="C1320" s="2" t="s">
        <v>1335</v>
      </c>
      <c r="D1320" s="3">
        <v>314892</v>
      </c>
      <c r="E1320" s="3">
        <v>927</v>
      </c>
      <c r="F1320" s="3">
        <v>125</v>
      </c>
      <c r="G1320" s="3" t="str">
        <f ca="1">IFERROR(__xludf.DUMMYFUNCTION("GOOGLETRANSLATE(A1320,""auto"",""en"")"),"Children's shoes")</f>
        <v>Children's shoes</v>
      </c>
      <c r="H1320" s="3" t="str">
        <f ca="1">IFERROR(__xludf.DUMMYFUNCTION("GOOGLETRANSLATE(B1320,""auto"",""en"")"),"boots")</f>
        <v>boots</v>
      </c>
      <c r="I1320" s="3" t="str">
        <f ca="1">IFERROR(__xludf.DUMMYFUNCTION("GOOGLETRANSLATE(C1320,""auto"",""en"")"),"Wellies")</f>
        <v>Wellies</v>
      </c>
    </row>
    <row r="1321" spans="1:9" ht="13" x14ac:dyDescent="0.15">
      <c r="A1321" s="2" t="s">
        <v>1309</v>
      </c>
      <c r="B1321" s="2" t="s">
        <v>1336</v>
      </c>
      <c r="C1321" s="2" t="s">
        <v>1336</v>
      </c>
      <c r="D1321" s="3">
        <v>314892</v>
      </c>
      <c r="E1321" s="3">
        <v>688</v>
      </c>
      <c r="F1321" s="3">
        <v>688</v>
      </c>
      <c r="G1321" s="3" t="str">
        <f ca="1">IFERROR(__xludf.DUMMYFUNCTION("GOOGLETRANSLATE(A1321,""auto"",""en"")"),"Children's shoes")</f>
        <v>Children's shoes</v>
      </c>
      <c r="H1321" s="3" t="str">
        <f ca="1">IFERROR(__xludf.DUMMYFUNCTION("GOOGLETRANSLATE(B1321,""auto"",""en"")"),"Cotton-padded shoes")</f>
        <v>Cotton-padded shoes</v>
      </c>
      <c r="I1321" s="3" t="str">
        <f ca="1">IFERROR(__xludf.DUMMYFUNCTION("GOOGLETRANSLATE(C1321,""auto"",""en"")"),"Cotton-padded shoes")</f>
        <v>Cotton-padded shoes</v>
      </c>
    </row>
    <row r="1322" spans="1:9" ht="13" x14ac:dyDescent="0.15">
      <c r="A1322" s="2" t="s">
        <v>1309</v>
      </c>
      <c r="B1322" s="2" t="s">
        <v>1337</v>
      </c>
      <c r="C1322" s="2" t="s">
        <v>1337</v>
      </c>
      <c r="D1322" s="3">
        <v>314892</v>
      </c>
      <c r="E1322" s="3">
        <v>272</v>
      </c>
      <c r="F1322" s="3">
        <v>272</v>
      </c>
      <c r="G1322" s="3" t="str">
        <f ca="1">IFERROR(__xludf.DUMMYFUNCTION("GOOGLETRANSLATE(A1322,""auto"",""en"")"),"Children's shoes")</f>
        <v>Children's shoes</v>
      </c>
      <c r="H1322" s="3" t="str">
        <f ca="1">IFERROR(__xludf.DUMMYFUNCTION("GOOGLETRANSLATE(B1322,""auto"",""en"")"),"Parent-child shoes")</f>
        <v>Parent-child shoes</v>
      </c>
      <c r="I1322" s="3" t="str">
        <f ca="1">IFERROR(__xludf.DUMMYFUNCTION("GOOGLETRANSLATE(C1322,""auto"",""en"")"),"Parent-child shoes")</f>
        <v>Parent-child shoes</v>
      </c>
    </row>
    <row r="1323" spans="1:9" ht="13" x14ac:dyDescent="0.15">
      <c r="A1323" s="2" t="s">
        <v>1309</v>
      </c>
      <c r="B1323" s="2" t="s">
        <v>1338</v>
      </c>
      <c r="C1323" s="2" t="s">
        <v>1338</v>
      </c>
      <c r="D1323" s="3">
        <v>314892</v>
      </c>
      <c r="E1323" s="3">
        <v>258</v>
      </c>
      <c r="F1323" s="3">
        <v>258</v>
      </c>
      <c r="G1323" s="3" t="str">
        <f ca="1">IFERROR(__xludf.DUMMYFUNCTION("GOOGLETRANSLATE(A1323,""auto"",""en"")"),"Children's shoes")</f>
        <v>Children's shoes</v>
      </c>
      <c r="H1323" s="3" t="str">
        <f ca="1">IFERROR(__xludf.DUMMYFUNCTION("GOOGLETRANSLATE(B1323,""auto"",""en"")"),"Shoelaces / insoles and other")</f>
        <v>Shoelaces / insoles and other</v>
      </c>
      <c r="I1323" s="3" t="str">
        <f ca="1">IFERROR(__xludf.DUMMYFUNCTION("GOOGLETRANSLATE(C1323,""auto"",""en"")"),"Shoelaces / insoles and other")</f>
        <v>Shoelaces / insoles and other</v>
      </c>
    </row>
    <row r="1324" spans="1:9" ht="13" x14ac:dyDescent="0.15">
      <c r="A1324" s="2" t="s">
        <v>1309</v>
      </c>
      <c r="B1324" s="2" t="s">
        <v>1339</v>
      </c>
      <c r="C1324" s="2" t="s">
        <v>1339</v>
      </c>
      <c r="D1324" s="3">
        <v>314892</v>
      </c>
      <c r="E1324" s="3">
        <v>158</v>
      </c>
      <c r="F1324" s="3">
        <v>158</v>
      </c>
      <c r="G1324" s="3" t="str">
        <f ca="1">IFERROR(__xludf.DUMMYFUNCTION("GOOGLETRANSLATE(A1324,""auto"",""en"")"),"Children's shoes")</f>
        <v>Children's shoes</v>
      </c>
      <c r="H1324" s="3" t="str">
        <f ca="1">IFERROR(__xludf.DUMMYFUNCTION("GOOGLETRANSLATE(B1324,""auto"",""en"")"),"Other footwear")</f>
        <v>Other footwear</v>
      </c>
      <c r="I1324" s="3" t="str">
        <f ca="1">IFERROR(__xludf.DUMMYFUNCTION("GOOGLETRANSLATE(C1324,""auto"",""en"")"),"Other footwear")</f>
        <v>Other footwear</v>
      </c>
    </row>
    <row r="1325" spans="1:9" ht="13" x14ac:dyDescent="0.15">
      <c r="A1325" s="2" t="s">
        <v>1309</v>
      </c>
      <c r="B1325" s="2" t="s">
        <v>1340</v>
      </c>
      <c r="C1325" s="2" t="s">
        <v>1340</v>
      </c>
      <c r="D1325" s="3">
        <v>314892</v>
      </c>
      <c r="E1325" s="3">
        <v>54</v>
      </c>
      <c r="F1325" s="3">
        <v>54</v>
      </c>
      <c r="G1325" s="3" t="str">
        <f ca="1">IFERROR(__xludf.DUMMYFUNCTION("GOOGLETRANSLATE(A1325,""auto"",""en"")"),"Children's shoes")</f>
        <v>Children's shoes</v>
      </c>
      <c r="H1325" s="3" t="str">
        <f ca="1">IFERROR(__xludf.DUMMYFUNCTION("GOOGLETRANSLATE(B1325,""auto"",""en"")"),"Traditional shoes / shoe handmade")</f>
        <v>Traditional shoes / shoe handmade</v>
      </c>
      <c r="I1325" s="3" t="str">
        <f ca="1">IFERROR(__xludf.DUMMYFUNCTION("GOOGLETRANSLATE(C1325,""auto"",""en"")"),"Traditional shoes / shoe handmade")</f>
        <v>Traditional shoes / shoe handmade</v>
      </c>
    </row>
    <row r="1326" spans="1:9" ht="13" x14ac:dyDescent="0.15">
      <c r="A1326" s="2" t="s">
        <v>1341</v>
      </c>
      <c r="B1326" s="2" t="s">
        <v>1311</v>
      </c>
      <c r="C1326" s="2" t="s">
        <v>1311</v>
      </c>
      <c r="D1326" s="3">
        <v>295682</v>
      </c>
      <c r="E1326" s="3">
        <v>127429</v>
      </c>
      <c r="F1326" s="3">
        <v>127429</v>
      </c>
      <c r="G1326" s="3" t="str">
        <f ca="1">IFERROR(__xludf.DUMMYFUNCTION("GOOGLETRANSLATE(A1326,""auto"",""en"")"),"Women's Shoes")</f>
        <v>Women's Shoes</v>
      </c>
      <c r="H1326" s="3" t="str">
        <f ca="1">IFERROR(__xludf.DUMMYFUNCTION("GOOGLETRANSLATE(B1326,""auto"",""en"")"),"flip flop")</f>
        <v>flip flop</v>
      </c>
      <c r="I1326" s="3" t="str">
        <f ca="1">IFERROR(__xludf.DUMMYFUNCTION("GOOGLETRANSLATE(C1326,""auto"",""en"")"),"flip flop")</f>
        <v>flip flop</v>
      </c>
    </row>
    <row r="1327" spans="1:9" ht="13" x14ac:dyDescent="0.15">
      <c r="A1327" s="2" t="s">
        <v>1341</v>
      </c>
      <c r="B1327" s="2" t="s">
        <v>1310</v>
      </c>
      <c r="C1327" s="2" t="s">
        <v>1310</v>
      </c>
      <c r="D1327" s="3">
        <v>295682</v>
      </c>
      <c r="E1327" s="3">
        <v>90946</v>
      </c>
      <c r="F1327" s="3">
        <v>90946</v>
      </c>
      <c r="G1327" s="3" t="str">
        <f ca="1">IFERROR(__xludf.DUMMYFUNCTION("GOOGLETRANSLATE(A1327,""auto"",""en"")"),"Women's Shoes")</f>
        <v>Women's Shoes</v>
      </c>
      <c r="H1327" s="3" t="str">
        <f ca="1">IFERROR(__xludf.DUMMYFUNCTION("GOOGLETRANSLATE(B1327,""auto"",""en"")"),"sandals")</f>
        <v>sandals</v>
      </c>
      <c r="I1327" s="3" t="str">
        <f ca="1">IFERROR(__xludf.DUMMYFUNCTION("GOOGLETRANSLATE(C1327,""auto"",""en"")"),"sandals")</f>
        <v>sandals</v>
      </c>
    </row>
    <row r="1328" spans="1:9" ht="13" x14ac:dyDescent="0.15">
      <c r="A1328" s="2" t="s">
        <v>1341</v>
      </c>
      <c r="B1328" s="2" t="s">
        <v>1342</v>
      </c>
      <c r="C1328" s="2" t="s">
        <v>1342</v>
      </c>
      <c r="D1328" s="3">
        <v>295682</v>
      </c>
      <c r="E1328" s="3">
        <v>31073</v>
      </c>
      <c r="F1328" s="3">
        <v>31073</v>
      </c>
      <c r="G1328" s="3" t="str">
        <f ca="1">IFERROR(__xludf.DUMMYFUNCTION("GOOGLETRANSLATE(A1328,""auto"",""en"")"),"Women's Shoes")</f>
        <v>Women's Shoes</v>
      </c>
      <c r="H1328" s="3" t="str">
        <f ca="1">IFERROR(__xludf.DUMMYFUNCTION("GOOGLETRANSLATE(B1328,""auto"",""en"")"),"Shoes")</f>
        <v>Shoes</v>
      </c>
      <c r="I1328" s="3" t="str">
        <f ca="1">IFERROR(__xludf.DUMMYFUNCTION("GOOGLETRANSLATE(C1328,""auto"",""en"")"),"Shoes")</f>
        <v>Shoes</v>
      </c>
    </row>
    <row r="1329" spans="1:9" ht="13" x14ac:dyDescent="0.15">
      <c r="A1329" s="2" t="s">
        <v>1341</v>
      </c>
      <c r="B1329" s="2" t="s">
        <v>1314</v>
      </c>
      <c r="C1329" s="2" t="s">
        <v>1314</v>
      </c>
      <c r="D1329" s="3">
        <v>295682</v>
      </c>
      <c r="E1329" s="3">
        <v>24133</v>
      </c>
      <c r="F1329" s="3">
        <v>24133</v>
      </c>
      <c r="G1329" s="3" t="str">
        <f ca="1">IFERROR(__xludf.DUMMYFUNCTION("GOOGLETRANSLATE(A1329,""auto"",""en"")"),"Women's Shoes")</f>
        <v>Women's Shoes</v>
      </c>
      <c r="H1329" s="3" t="str">
        <f ca="1">IFERROR(__xludf.DUMMYFUNCTION("GOOGLETRANSLATE(B1329,""auto"",""en"")"),"casual shoes")</f>
        <v>casual shoes</v>
      </c>
      <c r="I1329" s="3" t="str">
        <f ca="1">IFERROR(__xludf.DUMMYFUNCTION("GOOGLETRANSLATE(C1329,""auto"",""en"")"),"casual shoes")</f>
        <v>casual shoes</v>
      </c>
    </row>
    <row r="1330" spans="1:9" ht="13" x14ac:dyDescent="0.15">
      <c r="A1330" s="2" t="s">
        <v>1341</v>
      </c>
      <c r="B1330" s="2" t="s">
        <v>1324</v>
      </c>
      <c r="C1330" s="2" t="s">
        <v>1324</v>
      </c>
      <c r="D1330" s="3">
        <v>295682</v>
      </c>
      <c r="E1330" s="3">
        <v>8846</v>
      </c>
      <c r="F1330" s="3">
        <v>8846</v>
      </c>
      <c r="G1330" s="3" t="str">
        <f ca="1">IFERROR(__xludf.DUMMYFUNCTION("GOOGLETRANSLATE(A1330,""auto"",""en"")"),"Women's Shoes")</f>
        <v>Women's Shoes</v>
      </c>
      <c r="H1330" s="3" t="str">
        <f ca="1">IFERROR(__xludf.DUMMYFUNCTION("GOOGLETRANSLATE(B1330,""auto"",""en"")"),"canvas shoes")</f>
        <v>canvas shoes</v>
      </c>
      <c r="I1330" s="3" t="str">
        <f ca="1">IFERROR(__xludf.DUMMYFUNCTION("GOOGLETRANSLATE(C1330,""auto"",""en"")"),"canvas shoes")</f>
        <v>canvas shoes</v>
      </c>
    </row>
    <row r="1331" spans="1:9" ht="13" x14ac:dyDescent="0.15">
      <c r="A1331" s="2" t="s">
        <v>1341</v>
      </c>
      <c r="B1331" s="2" t="s">
        <v>1332</v>
      </c>
      <c r="C1331" s="2" t="s">
        <v>1332</v>
      </c>
      <c r="D1331" s="3">
        <v>295682</v>
      </c>
      <c r="E1331" s="3">
        <v>3760</v>
      </c>
      <c r="F1331" s="3">
        <v>3760</v>
      </c>
      <c r="G1331" s="3" t="str">
        <f ca="1">IFERROR(__xludf.DUMMYFUNCTION("GOOGLETRANSLATE(A1331,""auto"",""en"")"),"Women's Shoes")</f>
        <v>Women's Shoes</v>
      </c>
      <c r="H1331" s="3" t="str">
        <f ca="1">IFERROR(__xludf.DUMMYFUNCTION("GOOGLETRANSLATE(B1331,""auto"",""en"")"),"boots")</f>
        <v>boots</v>
      </c>
      <c r="I1331" s="3" t="str">
        <f ca="1">IFERROR(__xludf.DUMMYFUNCTION("GOOGLETRANSLATE(C1331,""auto"",""en"")"),"boots")</f>
        <v>boots</v>
      </c>
    </row>
    <row r="1332" spans="1:9" ht="13" x14ac:dyDescent="0.15">
      <c r="A1332" s="2" t="s">
        <v>1341</v>
      </c>
      <c r="B1332" s="2" t="s">
        <v>1343</v>
      </c>
      <c r="C1332" s="2" t="s">
        <v>1343</v>
      </c>
      <c r="D1332" s="3">
        <v>295682</v>
      </c>
      <c r="E1332" s="3">
        <v>3715</v>
      </c>
      <c r="F1332" s="3">
        <v>3715</v>
      </c>
      <c r="G1332" s="3" t="str">
        <f ca="1">IFERROR(__xludf.DUMMYFUNCTION("GOOGLETRANSLATE(A1332,""auto"",""en"")"),"Women's Shoes")</f>
        <v>Women's Shoes</v>
      </c>
      <c r="H1332" s="3" t="str">
        <f ca="1">IFERROR(__xludf.DUMMYFUNCTION("GOOGLETRANSLATE(B1332,""auto"",""en"")"),"Low shoes")</f>
        <v>Low shoes</v>
      </c>
      <c r="I1332" s="3" t="str">
        <f ca="1">IFERROR(__xludf.DUMMYFUNCTION("GOOGLETRANSLATE(C1332,""auto"",""en"")"),"Low shoes")</f>
        <v>Low shoes</v>
      </c>
    </row>
    <row r="1333" spans="1:9" ht="13" x14ac:dyDescent="0.15">
      <c r="A1333" s="2" t="s">
        <v>1341</v>
      </c>
      <c r="B1333" s="2" t="s">
        <v>1344</v>
      </c>
      <c r="C1333" s="2" t="s">
        <v>1344</v>
      </c>
      <c r="D1333" s="3">
        <v>295682</v>
      </c>
      <c r="E1333" s="3">
        <v>3216</v>
      </c>
      <c r="F1333" s="3">
        <v>3216</v>
      </c>
      <c r="G1333" s="3" t="str">
        <f ca="1">IFERROR(__xludf.DUMMYFUNCTION("GOOGLETRANSLATE(A1333,""auto"",""en"")"),"Women's Shoes")</f>
        <v>Women's Shoes</v>
      </c>
      <c r="H1333" s="3" t="str">
        <f ca="1">IFERROR(__xludf.DUMMYFUNCTION("GOOGLETRANSLATE(B1333,""auto"",""en"")"),"High-heeled shoes")</f>
        <v>High-heeled shoes</v>
      </c>
      <c r="I1333" s="3" t="str">
        <f ca="1">IFERROR(__xludf.DUMMYFUNCTION("GOOGLETRANSLATE(C1333,""auto"",""en"")"),"High-heeled shoes")</f>
        <v>High-heeled shoes</v>
      </c>
    </row>
    <row r="1334" spans="1:9" ht="13" x14ac:dyDescent="0.15">
      <c r="A1334" s="2" t="s">
        <v>1341</v>
      </c>
      <c r="B1334" s="2" t="s">
        <v>1345</v>
      </c>
      <c r="C1334" s="2" t="s">
        <v>1345</v>
      </c>
      <c r="D1334" s="3">
        <v>295682</v>
      </c>
      <c r="E1334" s="3">
        <v>2327</v>
      </c>
      <c r="F1334" s="3">
        <v>2327</v>
      </c>
      <c r="G1334" s="3" t="str">
        <f ca="1">IFERROR(__xludf.DUMMYFUNCTION("GOOGLETRANSLATE(A1334,""auto"",""en"")"),"Women's Shoes")</f>
        <v>Women's Shoes</v>
      </c>
      <c r="H1334" s="3" t="str">
        <f ca="1">IFERROR(__xludf.DUMMYFUNCTION("GOOGLETRANSLATE(B1334,""auto"",""en"")"),"Wedges")</f>
        <v>Wedges</v>
      </c>
      <c r="I1334" s="3" t="str">
        <f ca="1">IFERROR(__xludf.DUMMYFUNCTION("GOOGLETRANSLATE(C1334,""auto"",""en"")"),"Wedges")</f>
        <v>Wedges</v>
      </c>
    </row>
    <row r="1335" spans="1:9" ht="13" x14ac:dyDescent="0.15">
      <c r="A1335" s="2" t="s">
        <v>1341</v>
      </c>
      <c r="B1335" s="2" t="s">
        <v>1346</v>
      </c>
      <c r="C1335" s="2" t="s">
        <v>1346</v>
      </c>
      <c r="D1335" s="3">
        <v>295682</v>
      </c>
      <c r="E1335" s="3">
        <v>210</v>
      </c>
      <c r="F1335" s="3">
        <v>210</v>
      </c>
      <c r="G1335" s="3" t="str">
        <f ca="1">IFERROR(__xludf.DUMMYFUNCTION("GOOGLETRANSLATE(A1335,""auto"",""en"")"),"Women's Shoes")</f>
        <v>Women's Shoes</v>
      </c>
      <c r="H1335" s="3" t="str">
        <f ca="1">IFERROR(__xludf.DUMMYFUNCTION("GOOGLETRANSLATE(B1335,""auto"",""en"")"),"snow boots")</f>
        <v>snow boots</v>
      </c>
      <c r="I1335" s="3" t="str">
        <f ca="1">IFERROR(__xludf.DUMMYFUNCTION("GOOGLETRANSLATE(C1335,""auto"",""en"")"),"snow boots")</f>
        <v>snow boots</v>
      </c>
    </row>
    <row r="1336" spans="1:9" ht="13" x14ac:dyDescent="0.15">
      <c r="A1336" s="2" t="s">
        <v>1341</v>
      </c>
      <c r="B1336" s="2" t="s">
        <v>1347</v>
      </c>
      <c r="C1336" s="2" t="s">
        <v>1347</v>
      </c>
      <c r="D1336" s="3">
        <v>295682</v>
      </c>
      <c r="E1336" s="3">
        <v>19</v>
      </c>
      <c r="F1336" s="3">
        <v>19</v>
      </c>
      <c r="G1336" s="3" t="str">
        <f ca="1">IFERROR(__xludf.DUMMYFUNCTION("GOOGLETRANSLATE(A1336,""auto"",""en"")"),"Women's Shoes")</f>
        <v>Women's Shoes</v>
      </c>
      <c r="H1336" s="3" t="str">
        <f ca="1">IFERROR(__xludf.DUMMYFUNCTION("GOOGLETRANSLATE(B1336,""auto"",""en"")"),"high heel shoes")</f>
        <v>high heel shoes</v>
      </c>
      <c r="I1336" s="3" t="str">
        <f ca="1">IFERROR(__xludf.DUMMYFUNCTION("GOOGLETRANSLATE(C1336,""auto"",""en"")"),"high heel shoes")</f>
        <v>high heel shoes</v>
      </c>
    </row>
    <row r="1337" spans="1:9" ht="13" x14ac:dyDescent="0.15">
      <c r="A1337" s="2" t="s">
        <v>1341</v>
      </c>
      <c r="B1337" s="2" t="s">
        <v>1330</v>
      </c>
      <c r="C1337" s="2" t="s">
        <v>1330</v>
      </c>
      <c r="D1337" s="3">
        <v>295682</v>
      </c>
      <c r="E1337" s="3">
        <v>10</v>
      </c>
      <c r="F1337" s="3">
        <v>10</v>
      </c>
      <c r="G1337" s="3" t="str">
        <f ca="1">IFERROR(__xludf.DUMMYFUNCTION("GOOGLETRANSLATE(A1337,""auto"",""en"")"),"Women's Shoes")</f>
        <v>Women's Shoes</v>
      </c>
      <c r="H1337" s="3" t="str">
        <f ca="1">IFERROR(__xludf.DUMMYFUNCTION("GOOGLETRANSLATE(B1337,""auto"",""en"")"),"Rain boots")</f>
        <v>Rain boots</v>
      </c>
      <c r="I1337" s="3" t="str">
        <f ca="1">IFERROR(__xludf.DUMMYFUNCTION("GOOGLETRANSLATE(C1337,""auto"",""en"")"),"Rain boots")</f>
        <v>Rain boots</v>
      </c>
    </row>
    <row r="1338" spans="1:9" ht="13" x14ac:dyDescent="0.15">
      <c r="A1338" s="2" t="s">
        <v>1348</v>
      </c>
      <c r="B1338" s="2" t="s">
        <v>1348</v>
      </c>
      <c r="C1338" s="2" t="s">
        <v>1348</v>
      </c>
      <c r="D1338" s="3">
        <v>221792</v>
      </c>
      <c r="E1338" s="3">
        <v>142987</v>
      </c>
      <c r="F1338" s="3">
        <v>142987</v>
      </c>
      <c r="G1338" s="3" t="str">
        <f ca="1">IFERROR(__xludf.DUMMYFUNCTION("GOOGLETRANSLATE(A1338,""auto"",""en"")"),"Diapers")</f>
        <v>Diapers</v>
      </c>
      <c r="H1338" s="3" t="str">
        <f ca="1">IFERROR(__xludf.DUMMYFUNCTION("GOOGLETRANSLATE(B1338,""auto"",""en"")"),"Diapers")</f>
        <v>Diapers</v>
      </c>
      <c r="I1338" s="3" t="str">
        <f ca="1">IFERROR(__xludf.DUMMYFUNCTION("GOOGLETRANSLATE(C1338,""auto"",""en"")"),"Diapers")</f>
        <v>Diapers</v>
      </c>
    </row>
    <row r="1339" spans="1:9" ht="13" x14ac:dyDescent="0.15">
      <c r="A1339" s="2" t="s">
        <v>1348</v>
      </c>
      <c r="B1339" s="2" t="s">
        <v>1349</v>
      </c>
      <c r="C1339" s="2" t="s">
        <v>1349</v>
      </c>
      <c r="D1339" s="3">
        <v>221792</v>
      </c>
      <c r="E1339" s="3">
        <v>61769</v>
      </c>
      <c r="F1339" s="3">
        <v>61769</v>
      </c>
      <c r="G1339" s="3" t="str">
        <f ca="1">IFERROR(__xludf.DUMMYFUNCTION("GOOGLETRANSLATE(A1339,""auto"",""en"")"),"Diapers")</f>
        <v>Diapers</v>
      </c>
      <c r="H1339" s="3" t="str">
        <f ca="1">IFERROR(__xludf.DUMMYFUNCTION("GOOGLETRANSLATE(B1339,""auto"",""en"")"),"Lara pants")</f>
        <v>Lara pants</v>
      </c>
      <c r="I1339" s="3" t="str">
        <f ca="1">IFERROR(__xludf.DUMMYFUNCTION("GOOGLETRANSLATE(C1339,""auto"",""en"")"),"Lara pants")</f>
        <v>Lara pants</v>
      </c>
    </row>
    <row r="1340" spans="1:9" ht="13" x14ac:dyDescent="0.15">
      <c r="A1340" s="2" t="s">
        <v>1348</v>
      </c>
      <c r="B1340" s="2" t="s">
        <v>1350</v>
      </c>
      <c r="C1340" s="2" t="s">
        <v>1350</v>
      </c>
      <c r="D1340" s="3">
        <v>221792</v>
      </c>
      <c r="E1340" s="3">
        <v>17041</v>
      </c>
      <c r="F1340" s="3">
        <v>17041</v>
      </c>
      <c r="G1340" s="3" t="str">
        <f ca="1">IFERROR(__xludf.DUMMYFUNCTION("GOOGLETRANSLATE(A1340,""auto"",""en"")"),"Diapers")</f>
        <v>Diapers</v>
      </c>
      <c r="H1340" s="3" t="str">
        <f ca="1">IFERROR(__xludf.DUMMYFUNCTION("GOOGLETRANSLATE(B1340,""auto"",""en"")"),"Diapers")</f>
        <v>Diapers</v>
      </c>
      <c r="I1340" s="3" t="str">
        <f ca="1">IFERROR(__xludf.DUMMYFUNCTION("GOOGLETRANSLATE(C1340,""auto"",""en"")"),"Diapers")</f>
        <v>Diapers</v>
      </c>
    </row>
    <row r="1341" spans="1:9" ht="13" x14ac:dyDescent="0.15">
      <c r="A1341" s="2" t="s">
        <v>1351</v>
      </c>
      <c r="B1341" s="2" t="s">
        <v>1352</v>
      </c>
      <c r="C1341" s="2" t="s">
        <v>1352</v>
      </c>
      <c r="D1341" s="3">
        <v>175936</v>
      </c>
      <c r="E1341" s="3">
        <v>38003</v>
      </c>
      <c r="F1341" s="3">
        <v>38003</v>
      </c>
      <c r="G1341" s="3" t="s">
        <v>1353</v>
      </c>
      <c r="H1341" s="3" t="str">
        <f ca="1">IFERROR(__xludf.DUMMYFUNCTION("GOOGLETRANSLATE(B1341,""auto"",""en"")"),"Quilt / silk / duvet / quilt")</f>
        <v>Quilt / silk / duvet / quilt</v>
      </c>
      <c r="I1341" s="3" t="str">
        <f ca="1">IFERROR(__xludf.DUMMYFUNCTION("GOOGLETRANSLATE(C1341,""auto"",""en"")"),"Quilt / silk / duvet / quilt")</f>
        <v>Quilt / silk / duvet / quilt</v>
      </c>
    </row>
    <row r="1342" spans="1:9" ht="13" x14ac:dyDescent="0.15">
      <c r="A1342" s="2" t="s">
        <v>1351</v>
      </c>
      <c r="B1342" s="2" t="s">
        <v>1354</v>
      </c>
      <c r="C1342" s="2" t="s">
        <v>1355</v>
      </c>
      <c r="D1342" s="3">
        <v>175936</v>
      </c>
      <c r="E1342" s="3">
        <v>26939</v>
      </c>
      <c r="F1342" s="3">
        <v>18892</v>
      </c>
      <c r="G1342" s="3" t="s">
        <v>1353</v>
      </c>
      <c r="H1342" s="3" t="str">
        <f ca="1">IFERROR(__xludf.DUMMYFUNCTION("GOOGLETRANSLATE(B1342,""auto"",""en"")"),"Towels, bath towels")</f>
        <v>Towels, bath towels</v>
      </c>
      <c r="I1342" s="3" t="str">
        <f ca="1">IFERROR(__xludf.DUMMYFUNCTION("GOOGLETRANSLATE(C1342,""auto"",""en"")"),"Towel / towel / handkerchief")</f>
        <v>Towel / towel / handkerchief</v>
      </c>
    </row>
    <row r="1343" spans="1:9" ht="13" x14ac:dyDescent="0.15">
      <c r="A1343" s="2" t="s">
        <v>1351</v>
      </c>
      <c r="B1343" s="2" t="s">
        <v>1354</v>
      </c>
      <c r="C1343" s="2" t="s">
        <v>1356</v>
      </c>
      <c r="D1343" s="3">
        <v>175936</v>
      </c>
      <c r="E1343" s="3">
        <v>26939</v>
      </c>
      <c r="F1343" s="3">
        <v>6111</v>
      </c>
      <c r="G1343" s="3" t="s">
        <v>1353</v>
      </c>
      <c r="H1343" s="3" t="str">
        <f ca="1">IFERROR(__xludf.DUMMYFUNCTION("GOOGLETRANSLATE(B1343,""auto"",""en"")"),"Towels, bath towels")</f>
        <v>Towels, bath towels</v>
      </c>
      <c r="I1343" s="3" t="str">
        <f ca="1">IFERROR(__xludf.DUMMYFUNCTION("GOOGLETRANSLATE(C1343,""auto"",""en"")"),"bath towel")</f>
        <v>bath towel</v>
      </c>
    </row>
    <row r="1344" spans="1:9" ht="13" x14ac:dyDescent="0.15">
      <c r="A1344" s="2" t="s">
        <v>1351</v>
      </c>
      <c r="B1344" s="2" t="s">
        <v>1354</v>
      </c>
      <c r="C1344" s="2" t="s">
        <v>1357</v>
      </c>
      <c r="D1344" s="3">
        <v>175936</v>
      </c>
      <c r="E1344" s="3">
        <v>26939</v>
      </c>
      <c r="F1344" s="3">
        <v>1228</v>
      </c>
      <c r="G1344" s="3" t="s">
        <v>1353</v>
      </c>
      <c r="H1344" s="3" t="str">
        <f ca="1">IFERROR(__xludf.DUMMYFUNCTION("GOOGLETRANSLATE(B1344,""auto"",""en"")"),"Towels, bath towels")</f>
        <v>Towels, bath towels</v>
      </c>
      <c r="I1344" s="3" t="str">
        <f ca="1">IFERROR(__xludf.DUMMYFUNCTION("GOOGLETRANSLATE(C1344,""auto"",""en"")"),"Towels towels square suit / three-piece suit")</f>
        <v>Towels towels square suit / three-piece suit</v>
      </c>
    </row>
    <row r="1345" spans="1:9" ht="13" x14ac:dyDescent="0.15">
      <c r="A1345" s="2" t="s">
        <v>1351</v>
      </c>
      <c r="B1345" s="2" t="s">
        <v>1354</v>
      </c>
      <c r="C1345" s="2" t="s">
        <v>1358</v>
      </c>
      <c r="D1345" s="3">
        <v>175936</v>
      </c>
      <c r="E1345" s="3">
        <v>26939</v>
      </c>
      <c r="F1345" s="3">
        <v>709</v>
      </c>
      <c r="G1345" s="3" t="s">
        <v>1353</v>
      </c>
      <c r="H1345" s="3" t="str">
        <f ca="1">IFERROR(__xludf.DUMMYFUNCTION("GOOGLETRANSLATE(B1345,""auto"",""en"")"),"Towels, bath towels")</f>
        <v>Towels, bath towels</v>
      </c>
      <c r="I1345" s="3" t="str">
        <f ca="1">IFERROR(__xludf.DUMMYFUNCTION("GOOGLETRANSLATE(C1345,""auto"",""en"")"),"Bath skirt / bathrobe / yukata")</f>
        <v>Bath skirt / bathrobe / yukata</v>
      </c>
    </row>
    <row r="1346" spans="1:9" ht="13" x14ac:dyDescent="0.15">
      <c r="A1346" s="2" t="s">
        <v>1351</v>
      </c>
      <c r="B1346" s="2" t="s">
        <v>1359</v>
      </c>
      <c r="C1346" s="2" t="s">
        <v>1359</v>
      </c>
      <c r="D1346" s="3">
        <v>175936</v>
      </c>
      <c r="E1346" s="3">
        <v>21113</v>
      </c>
      <c r="F1346" s="3">
        <v>21113</v>
      </c>
      <c r="G1346" s="3" t="s">
        <v>1353</v>
      </c>
      <c r="H1346" s="3" t="str">
        <f ca="1">IFERROR(__xludf.DUMMYFUNCTION("GOOGLETRANSLATE(B1346,""auto"",""en"")"),"Mat / mats / cane seats / mats / leather mat")</f>
        <v>Mat / mats / cane seats / mats / leather mat</v>
      </c>
      <c r="I1346" s="3" t="str">
        <f ca="1">IFERROR(__xludf.DUMMYFUNCTION("GOOGLETRANSLATE(C1346,""auto"",""en"")"),"Mat / mats / cane seats / mats / leather mat")</f>
        <v>Mat / mats / cane seats / mats / leather mat</v>
      </c>
    </row>
    <row r="1347" spans="1:9" ht="13" x14ac:dyDescent="0.15">
      <c r="A1347" s="2" t="s">
        <v>1351</v>
      </c>
      <c r="B1347" s="2" t="s">
        <v>739</v>
      </c>
      <c r="C1347" s="2" t="s">
        <v>739</v>
      </c>
      <c r="D1347" s="3">
        <v>175936</v>
      </c>
      <c r="E1347" s="3">
        <v>20703</v>
      </c>
      <c r="F1347" s="3">
        <v>20703</v>
      </c>
      <c r="G1347" s="3" t="s">
        <v>1353</v>
      </c>
      <c r="H1347" s="3" t="str">
        <f ca="1">IFERROR(__xludf.DUMMYFUNCTION("GOOGLETRANSLATE(B1347,""auto"",""en"")"),"mosquito net")</f>
        <v>mosquito net</v>
      </c>
      <c r="I1347" s="3" t="str">
        <f ca="1">IFERROR(__xludf.DUMMYFUNCTION("GOOGLETRANSLATE(C1347,""auto"",""en"")"),"mosquito net")</f>
        <v>mosquito net</v>
      </c>
    </row>
    <row r="1348" spans="1:9" ht="13" x14ac:dyDescent="0.15">
      <c r="A1348" s="2" t="s">
        <v>1351</v>
      </c>
      <c r="B1348" s="2" t="s">
        <v>1360</v>
      </c>
      <c r="C1348" s="2" t="s">
        <v>1361</v>
      </c>
      <c r="D1348" s="3">
        <v>175936</v>
      </c>
      <c r="E1348" s="3">
        <v>20308</v>
      </c>
      <c r="F1348" s="3">
        <v>15436</v>
      </c>
      <c r="G1348" s="3" t="s">
        <v>1353</v>
      </c>
      <c r="H1348" s="3" t="str">
        <f ca="1">IFERROR(__xludf.DUMMYFUNCTION("GOOGLETRANSLATE(B1348,""auto"",""en"")"),"Linens")</f>
        <v>Linens</v>
      </c>
      <c r="I1348" s="3" t="str">
        <f ca="1">IFERROR(__xludf.DUMMYFUNCTION("GOOGLETRANSLATE(C1348,""auto"",""en"")"),"Bed skirt")</f>
        <v>Bed skirt</v>
      </c>
    </row>
    <row r="1349" spans="1:9" ht="13" x14ac:dyDescent="0.15">
      <c r="A1349" s="2" t="s">
        <v>1351</v>
      </c>
      <c r="B1349" s="2" t="s">
        <v>1360</v>
      </c>
      <c r="C1349" s="2" t="s">
        <v>745</v>
      </c>
      <c r="D1349" s="3">
        <v>175936</v>
      </c>
      <c r="E1349" s="3">
        <v>20308</v>
      </c>
      <c r="F1349" s="3">
        <v>2679</v>
      </c>
      <c r="G1349" s="3" t="s">
        <v>1353</v>
      </c>
      <c r="H1349" s="3" t="str">
        <f ca="1">IFERROR(__xludf.DUMMYFUNCTION("GOOGLETRANSLATE(B1349,""auto"",""en"")"),"Linens")</f>
        <v>Linens</v>
      </c>
      <c r="I1349" s="3" t="str">
        <f ca="1">IFERROR(__xludf.DUMMYFUNCTION("GOOGLETRANSLATE(C1349,""auto"",""en"")"),"Sheet")</f>
        <v>Sheet</v>
      </c>
    </row>
    <row r="1350" spans="1:9" ht="13" x14ac:dyDescent="0.15">
      <c r="A1350" s="2" t="s">
        <v>1351</v>
      </c>
      <c r="B1350" s="2" t="s">
        <v>1360</v>
      </c>
      <c r="C1350" s="2" t="s">
        <v>1362</v>
      </c>
      <c r="D1350" s="3">
        <v>175936</v>
      </c>
      <c r="E1350" s="3">
        <v>20308</v>
      </c>
      <c r="F1350" s="3">
        <v>1444</v>
      </c>
      <c r="G1350" s="3" t="s">
        <v>1353</v>
      </c>
      <c r="H1350" s="3" t="str">
        <f ca="1">IFERROR(__xludf.DUMMYFUNCTION("GOOGLETRANSLATE(B1350,""auto"",""en"")"),"Linens")</f>
        <v>Linens</v>
      </c>
      <c r="I1350" s="3" t="str">
        <f ca="1">IFERROR(__xludf.DUMMYFUNCTION("GOOGLETRANSLATE(C1350,""auto"",""en"")"),"Fitted")</f>
        <v>Fitted</v>
      </c>
    </row>
    <row r="1351" spans="1:9" ht="13" x14ac:dyDescent="0.15">
      <c r="A1351" s="2" t="s">
        <v>1351</v>
      </c>
      <c r="B1351" s="2" t="s">
        <v>1360</v>
      </c>
      <c r="C1351" s="2" t="s">
        <v>1363</v>
      </c>
      <c r="D1351" s="3">
        <v>175936</v>
      </c>
      <c r="E1351" s="3">
        <v>20308</v>
      </c>
      <c r="F1351" s="3">
        <v>522</v>
      </c>
      <c r="G1351" s="3" t="s">
        <v>1353</v>
      </c>
      <c r="H1351" s="3" t="str">
        <f ca="1">IFERROR(__xludf.DUMMYFUNCTION("GOOGLETRANSLATE(B1351,""auto"",""en"")"),"Linens")</f>
        <v>Linens</v>
      </c>
      <c r="I1351" s="3" t="str">
        <f ca="1">IFERROR(__xludf.DUMMYFUNCTION("GOOGLETRANSLATE(C1351,""auto"",""en"")"),"quilt")</f>
        <v>quilt</v>
      </c>
    </row>
    <row r="1352" spans="1:9" ht="13" x14ac:dyDescent="0.15">
      <c r="A1352" s="2" t="s">
        <v>1351</v>
      </c>
      <c r="B1352" s="2" t="s">
        <v>1360</v>
      </c>
      <c r="C1352" s="2" t="s">
        <v>1364</v>
      </c>
      <c r="D1352" s="3">
        <v>175936</v>
      </c>
      <c r="E1352" s="3">
        <v>20308</v>
      </c>
      <c r="F1352" s="3">
        <v>146</v>
      </c>
      <c r="G1352" s="3" t="s">
        <v>1353</v>
      </c>
      <c r="H1352" s="3" t="str">
        <f ca="1">IFERROR(__xludf.DUMMYFUNCTION("GOOGLETRANSLATE(B1352,""auto"",""en"")"),"Linens")</f>
        <v>Linens</v>
      </c>
      <c r="I1352" s="3" t="str">
        <f ca="1">IFERROR(__xludf.DUMMYFUNCTION("GOOGLETRANSLATE(C1352,""auto"",""en"")"),"Bedspread")</f>
        <v>Bedspread</v>
      </c>
    </row>
    <row r="1353" spans="1:9" ht="13" x14ac:dyDescent="0.15">
      <c r="A1353" s="2" t="s">
        <v>1351</v>
      </c>
      <c r="B1353" s="2" t="s">
        <v>1360</v>
      </c>
      <c r="C1353" s="2" t="s">
        <v>1365</v>
      </c>
      <c r="D1353" s="3">
        <v>175936</v>
      </c>
      <c r="E1353" s="3">
        <v>20308</v>
      </c>
      <c r="F1353" s="3">
        <v>62</v>
      </c>
      <c r="G1353" s="3" t="s">
        <v>1353</v>
      </c>
      <c r="H1353" s="3" t="str">
        <f ca="1">IFERROR(__xludf.DUMMYFUNCTION("GOOGLETRANSLATE(B1353,""auto"",""en"")"),"Linens")</f>
        <v>Linens</v>
      </c>
      <c r="I1353" s="3" t="str">
        <f ca="1">IFERROR(__xludf.DUMMYFUNCTION("GOOGLETRANSLATE(C1353,""auto"",""en"")"),"sleeping bag")</f>
        <v>sleeping bag</v>
      </c>
    </row>
    <row r="1354" spans="1:9" ht="13" x14ac:dyDescent="0.15">
      <c r="A1354" s="2" t="s">
        <v>1351</v>
      </c>
      <c r="B1354" s="2" t="s">
        <v>1360</v>
      </c>
      <c r="C1354" s="2" t="s">
        <v>92</v>
      </c>
      <c r="D1354" s="3">
        <v>175936</v>
      </c>
      <c r="E1354" s="3">
        <v>20308</v>
      </c>
      <c r="F1354" s="3">
        <v>19</v>
      </c>
      <c r="G1354" s="3" t="s">
        <v>1353</v>
      </c>
      <c r="H1354" s="3" t="str">
        <f ca="1">IFERROR(__xludf.DUMMYFUNCTION("GOOGLETRANSLATE(B1354,""auto"",""en"")"),"Linens")</f>
        <v>Linens</v>
      </c>
      <c r="I1354" s="3" t="str">
        <f ca="1">IFERROR(__xludf.DUMMYFUNCTION("GOOGLETRANSLATE(C1354,""auto"",""en"")"),"other")</f>
        <v>other</v>
      </c>
    </row>
    <row r="1355" spans="1:9" ht="13" x14ac:dyDescent="0.15">
      <c r="A1355" s="2" t="s">
        <v>1351</v>
      </c>
      <c r="B1355" s="2" t="s">
        <v>1366</v>
      </c>
      <c r="C1355" s="2" t="s">
        <v>1367</v>
      </c>
      <c r="D1355" s="3">
        <v>175936</v>
      </c>
      <c r="E1355" s="3">
        <v>10387</v>
      </c>
      <c r="F1355" s="3">
        <v>7357</v>
      </c>
      <c r="G1355" s="3" t="s">
        <v>1353</v>
      </c>
      <c r="H1355" s="3" t="str">
        <f ca="1">IFERROR(__xludf.DUMMYFUNCTION("GOOGLETRANSLATE(B1355,""auto"",""en"")"),"Decoration")</f>
        <v>Decoration</v>
      </c>
      <c r="I1355" s="3" t="str">
        <f ca="1">IFERROR(__xludf.DUMMYFUNCTION("GOOGLETRANSLATE(C1355,""auto"",""en"")"),"Stickers / wall stickers / switch stickers, etc.")</f>
        <v>Stickers / wall stickers / switch stickers, etc.</v>
      </c>
    </row>
    <row r="1356" spans="1:9" ht="13" x14ac:dyDescent="0.15">
      <c r="A1356" s="2" t="s">
        <v>1351</v>
      </c>
      <c r="B1356" s="2" t="s">
        <v>1366</v>
      </c>
      <c r="C1356" s="2" t="s">
        <v>1368</v>
      </c>
      <c r="D1356" s="3">
        <v>175936</v>
      </c>
      <c r="E1356" s="3">
        <v>10387</v>
      </c>
      <c r="F1356" s="3">
        <v>907</v>
      </c>
      <c r="G1356" s="3" t="s">
        <v>1353</v>
      </c>
      <c r="H1356" s="3" t="str">
        <f ca="1">IFERROR(__xludf.DUMMYFUNCTION("GOOGLETRANSLATE(B1356,""auto"",""en"")"),"Decoration")</f>
        <v>Decoration</v>
      </c>
      <c r="I1356" s="3" t="str">
        <f ca="1">IFERROR(__xludf.DUMMYFUNCTION("GOOGLETRANSLATE(C1356,""auto"",""en"")"),"Flower / shelf / hanger combination like")</f>
        <v>Flower / shelf / hanger combination like</v>
      </c>
    </row>
    <row r="1357" spans="1:9" ht="13" x14ac:dyDescent="0.15">
      <c r="A1357" s="2" t="s">
        <v>1351</v>
      </c>
      <c r="B1357" s="2" t="s">
        <v>1366</v>
      </c>
      <c r="C1357" s="2" t="s">
        <v>302</v>
      </c>
      <c r="D1357" s="3">
        <v>175936</v>
      </c>
      <c r="E1357" s="3">
        <v>10387</v>
      </c>
      <c r="F1357" s="3">
        <v>520</v>
      </c>
      <c r="G1357" s="3" t="s">
        <v>1353</v>
      </c>
      <c r="H1357" s="3" t="str">
        <f ca="1">IFERROR(__xludf.DUMMYFUNCTION("GOOGLETRANSLATE(B1357,""auto"",""en"")"),"Decoration")</f>
        <v>Decoration</v>
      </c>
      <c r="I1357" s="3" t="str">
        <f ca="1">IFERROR(__xludf.DUMMYFUNCTION("GOOGLETRANSLATE(C1357,""auto"",""en"")"),"Decoration")</f>
        <v>Decoration</v>
      </c>
    </row>
    <row r="1358" spans="1:9" ht="13" x14ac:dyDescent="0.15">
      <c r="A1358" s="2" t="s">
        <v>1351</v>
      </c>
      <c r="B1358" s="2" t="s">
        <v>1366</v>
      </c>
      <c r="C1358" s="2" t="s">
        <v>1369</v>
      </c>
      <c r="D1358" s="3">
        <v>175936</v>
      </c>
      <c r="E1358" s="3">
        <v>10387</v>
      </c>
      <c r="F1358" s="3">
        <v>496</v>
      </c>
      <c r="G1358" s="3" t="s">
        <v>1353</v>
      </c>
      <c r="H1358" s="3" t="str">
        <f ca="1">IFERROR(__xludf.DUMMYFUNCTION("GOOGLETRANSLATE(B1358,""auto"",""en"")"),"Decoration")</f>
        <v>Decoration</v>
      </c>
      <c r="I1358" s="3" t="str">
        <f ca="1">IFERROR(__xludf.DUMMYFUNCTION("GOOGLETRANSLATE(C1358,""auto"",""en"")"),"Creative photo frames")</f>
        <v>Creative photo frames</v>
      </c>
    </row>
    <row r="1359" spans="1:9" ht="13" x14ac:dyDescent="0.15">
      <c r="A1359" s="2" t="s">
        <v>1351</v>
      </c>
      <c r="B1359" s="2" t="s">
        <v>1366</v>
      </c>
      <c r="C1359" s="2" t="s">
        <v>1370</v>
      </c>
      <c r="D1359" s="3">
        <v>175936</v>
      </c>
      <c r="E1359" s="3">
        <v>10387</v>
      </c>
      <c r="F1359" s="3">
        <v>429</v>
      </c>
      <c r="G1359" s="3" t="s">
        <v>1353</v>
      </c>
      <c r="H1359" s="3" t="str">
        <f ca="1">IFERROR(__xludf.DUMMYFUNCTION("GOOGLETRANSLATE(B1359,""auto"",""en"")"),"Decoration")</f>
        <v>Decoration</v>
      </c>
      <c r="I1359" s="3" t="str">
        <f ca="1">IFERROR(__xludf.DUMMYFUNCTION("GOOGLETRANSLATE(C1359,""auto"",""en"")"),"Home decoration clock / alarm clock")</f>
        <v>Home decoration clock / alarm clock</v>
      </c>
    </row>
    <row r="1360" spans="1:9" ht="13" x14ac:dyDescent="0.15">
      <c r="A1360" s="2" t="s">
        <v>1351</v>
      </c>
      <c r="B1360" s="2" t="s">
        <v>1366</v>
      </c>
      <c r="C1360" s="2" t="s">
        <v>1371</v>
      </c>
      <c r="D1360" s="3">
        <v>175936</v>
      </c>
      <c r="E1360" s="3">
        <v>10387</v>
      </c>
      <c r="F1360" s="3">
        <v>312</v>
      </c>
      <c r="G1360" s="3" t="s">
        <v>1353</v>
      </c>
      <c r="H1360" s="3" t="str">
        <f ca="1">IFERROR(__xludf.DUMMYFUNCTION("GOOGLETRANSLATE(B1360,""auto"",""en"")"),"Decoration")</f>
        <v>Decoration</v>
      </c>
      <c r="I1360" s="3" t="str">
        <f ca="1">IFERROR(__xludf.DUMMYFUNCTION("GOOGLETRANSLATE(C1360,""auto"",""en"")"),"Mural")</f>
        <v>Mural</v>
      </c>
    </row>
    <row r="1361" spans="1:9" ht="13" x14ac:dyDescent="0.15">
      <c r="A1361" s="2" t="s">
        <v>1351</v>
      </c>
      <c r="B1361" s="2" t="s">
        <v>1366</v>
      </c>
      <c r="C1361" s="2" t="s">
        <v>1372</v>
      </c>
      <c r="D1361" s="3">
        <v>175936</v>
      </c>
      <c r="E1361" s="3">
        <v>10387</v>
      </c>
      <c r="F1361" s="3">
        <v>108</v>
      </c>
      <c r="G1361" s="3" t="s">
        <v>1353</v>
      </c>
      <c r="H1361" s="3" t="str">
        <f ca="1">IFERROR(__xludf.DUMMYFUNCTION("GOOGLETRANSLATE(B1361,""auto"",""en"")"),"Decoration")</f>
        <v>Decoration</v>
      </c>
      <c r="I1361" s="3" t="str">
        <f ca="1">IFERROR(__xludf.DUMMYFUNCTION("GOOGLETRANSLATE(C1361,""auto"",""en"")"),"Decorative frame / decorative plate / decorative hooks, etc.")</f>
        <v>Decorative frame / decorative plate / decorative hooks, etc.</v>
      </c>
    </row>
    <row r="1362" spans="1:9" ht="13" x14ac:dyDescent="0.15">
      <c r="A1362" s="2" t="s">
        <v>1351</v>
      </c>
      <c r="B1362" s="2" t="s">
        <v>1366</v>
      </c>
      <c r="C1362" s="2" t="s">
        <v>1373</v>
      </c>
      <c r="D1362" s="3">
        <v>175936</v>
      </c>
      <c r="E1362" s="3">
        <v>10387</v>
      </c>
      <c r="F1362" s="3">
        <v>101</v>
      </c>
      <c r="G1362" s="3" t="s">
        <v>1353</v>
      </c>
      <c r="H1362" s="3" t="str">
        <f ca="1">IFERROR(__xludf.DUMMYFUNCTION("GOOGLETRANSLATE(B1362,""auto"",""en"")"),"Decoration")</f>
        <v>Decoration</v>
      </c>
      <c r="I1362" s="3" t="str">
        <f ca="1">IFERROR(__xludf.DUMMYFUNCTION("GOOGLETRANSLATE(C1362,""auto"",""en"")"),"home decoration")</f>
        <v>home decoration</v>
      </c>
    </row>
    <row r="1363" spans="1:9" ht="13" x14ac:dyDescent="0.15">
      <c r="A1363" s="2" t="s">
        <v>1351</v>
      </c>
      <c r="B1363" s="2" t="s">
        <v>1366</v>
      </c>
      <c r="C1363" s="2" t="s">
        <v>1374</v>
      </c>
      <c r="D1363" s="3">
        <v>175936</v>
      </c>
      <c r="E1363" s="3">
        <v>10387</v>
      </c>
      <c r="F1363" s="3">
        <v>68</v>
      </c>
      <c r="G1363" s="3" t="s">
        <v>1353</v>
      </c>
      <c r="H1363" s="3" t="str">
        <f ca="1">IFERROR(__xludf.DUMMYFUNCTION("GOOGLETRANSLATE(B1363,""auto"",""en"")"),"Decoration")</f>
        <v>Decoration</v>
      </c>
      <c r="I1363" s="3" t="str">
        <f ca="1">IFERROR(__xludf.DUMMYFUNCTION("GOOGLETRANSLATE(C1363,""auto"",""en"")"),"Creative jewelry")</f>
        <v>Creative jewelry</v>
      </c>
    </row>
    <row r="1364" spans="1:9" ht="13" x14ac:dyDescent="0.15">
      <c r="A1364" s="2" t="s">
        <v>1351</v>
      </c>
      <c r="B1364" s="2" t="s">
        <v>1366</v>
      </c>
      <c r="C1364" s="2" t="s">
        <v>1375</v>
      </c>
      <c r="D1364" s="3">
        <v>175936</v>
      </c>
      <c r="E1364" s="3">
        <v>10387</v>
      </c>
      <c r="F1364" s="3">
        <v>40</v>
      </c>
      <c r="G1364" s="3" t="s">
        <v>1353</v>
      </c>
      <c r="H1364" s="3" t="str">
        <f ca="1">IFERROR(__xludf.DUMMYFUNCTION("GOOGLETRANSLATE(B1364,""auto"",""en"")"),"Decoration")</f>
        <v>Decoration</v>
      </c>
      <c r="I1364" s="3" t="str">
        <f ca="1">IFERROR(__xludf.DUMMYFUNCTION("GOOGLETRANSLATE(C1364,""auto"",""en"")"),"Flower vase / artificial flowers")</f>
        <v>Flower vase / artificial flowers</v>
      </c>
    </row>
    <row r="1365" spans="1:9" ht="13" x14ac:dyDescent="0.15">
      <c r="A1365" s="2" t="s">
        <v>1351</v>
      </c>
      <c r="B1365" s="2" t="s">
        <v>1366</v>
      </c>
      <c r="C1365" s="2" t="s">
        <v>1376</v>
      </c>
      <c r="D1365" s="3">
        <v>175936</v>
      </c>
      <c r="E1365" s="3">
        <v>10387</v>
      </c>
      <c r="F1365" s="3">
        <v>24</v>
      </c>
      <c r="G1365" s="3" t="s">
        <v>1353</v>
      </c>
      <c r="H1365" s="3" t="str">
        <f ca="1">IFERROR(__xludf.DUMMYFUNCTION("GOOGLETRANSLATE(B1365,""auto"",""en"")"),"Decoration")</f>
        <v>Decoration</v>
      </c>
      <c r="I1365" s="3" t="str">
        <f ca="1">IFERROR(__xludf.DUMMYFUNCTION("GOOGLETRANSLATE(C1365,""auto"",""en"")"),"Photo Wall")</f>
        <v>Photo Wall</v>
      </c>
    </row>
    <row r="1366" spans="1:9" ht="13" x14ac:dyDescent="0.15">
      <c r="A1366" s="2" t="s">
        <v>1351</v>
      </c>
      <c r="B1366" s="2" t="s">
        <v>1366</v>
      </c>
      <c r="C1366" s="2" t="s">
        <v>365</v>
      </c>
      <c r="D1366" s="3">
        <v>175936</v>
      </c>
      <c r="E1366" s="3">
        <v>10387</v>
      </c>
      <c r="F1366" s="3">
        <v>17</v>
      </c>
      <c r="G1366" s="3" t="s">
        <v>1353</v>
      </c>
      <c r="H1366" s="3" t="str">
        <f ca="1">IFERROR(__xludf.DUMMYFUNCTION("GOOGLETRANSLATE(B1366,""auto"",""en"")"),"Decoration")</f>
        <v>Decoration</v>
      </c>
      <c r="I1366" s="3" t="str">
        <f ca="1">IFERROR(__xludf.DUMMYFUNCTION("GOOGLETRANSLATE(C1366,""auto"",""en"")"),"Festive supplies / gifts")</f>
        <v>Festive supplies / gifts</v>
      </c>
    </row>
    <row r="1367" spans="1:9" ht="13" x14ac:dyDescent="0.15">
      <c r="A1367" s="2" t="s">
        <v>1351</v>
      </c>
      <c r="B1367" s="2" t="s">
        <v>1366</v>
      </c>
      <c r="C1367" s="2" t="s">
        <v>1377</v>
      </c>
      <c r="D1367" s="3">
        <v>175936</v>
      </c>
      <c r="E1367" s="3">
        <v>10387</v>
      </c>
      <c r="F1367" s="3">
        <v>7</v>
      </c>
      <c r="G1367" s="3" t="s">
        <v>1353</v>
      </c>
      <c r="H1367" s="3" t="str">
        <f ca="1">IFERROR(__xludf.DUMMYFUNCTION("GOOGLETRANSLATE(B1367,""auto"",""en"")"),"Decoration")</f>
        <v>Decoration</v>
      </c>
      <c r="I1367" s="3" t="str">
        <f ca="1">IFERROR(__xludf.DUMMYFUNCTION("GOOGLETRANSLATE(C1367,""auto"",""en"")"),"Photo Frame / Frame")</f>
        <v>Photo Frame / Frame</v>
      </c>
    </row>
    <row r="1368" spans="1:9" ht="13" x14ac:dyDescent="0.15">
      <c r="A1368" s="2" t="s">
        <v>1351</v>
      </c>
      <c r="B1368" s="2" t="s">
        <v>1366</v>
      </c>
      <c r="C1368" s="2" t="s">
        <v>1378</v>
      </c>
      <c r="D1368" s="3">
        <v>175936</v>
      </c>
      <c r="E1368" s="3">
        <v>10387</v>
      </c>
      <c r="F1368" s="3">
        <v>1</v>
      </c>
      <c r="G1368" s="3" t="s">
        <v>1353</v>
      </c>
      <c r="H1368" s="3" t="str">
        <f ca="1">IFERROR(__xludf.DUMMYFUNCTION("GOOGLETRANSLATE(B1368,""auto"",""en"")"),"Decoration")</f>
        <v>Decoration</v>
      </c>
      <c r="I1368" s="3" t="str">
        <f ca="1">IFERROR(__xludf.DUMMYFUNCTION("GOOGLETRANSLATE(C1368,""auto"",""en"")"),"Decorative items")</f>
        <v>Decorative items</v>
      </c>
    </row>
    <row r="1369" spans="1:9" ht="13" x14ac:dyDescent="0.15">
      <c r="A1369" s="2" t="s">
        <v>1351</v>
      </c>
      <c r="B1369" s="2" t="s">
        <v>1379</v>
      </c>
      <c r="C1369" s="2" t="s">
        <v>1379</v>
      </c>
      <c r="D1369" s="3">
        <v>175936</v>
      </c>
      <c r="E1369" s="3">
        <v>7402</v>
      </c>
      <c r="F1369" s="3">
        <v>2135</v>
      </c>
      <c r="G1369" s="3" t="s">
        <v>1353</v>
      </c>
      <c r="H1369" s="3" t="str">
        <f ca="1">IFERROR(__xludf.DUMMYFUNCTION("GOOGLETRANSLATE(B1369,""auto"",""en"")"),"Home Fabric")</f>
        <v>Home Fabric</v>
      </c>
      <c r="I1369" s="3" t="str">
        <f ca="1">IFERROR(__xludf.DUMMYFUNCTION("GOOGLETRANSLATE(C1369,""auto"",""en"")"),"Home Fabric")</f>
        <v>Home Fabric</v>
      </c>
    </row>
    <row r="1370" spans="1:9" ht="13" x14ac:dyDescent="0.15">
      <c r="A1370" s="2" t="s">
        <v>1351</v>
      </c>
      <c r="B1370" s="2" t="s">
        <v>1379</v>
      </c>
      <c r="C1370" s="2" t="s">
        <v>1380</v>
      </c>
      <c r="D1370" s="3">
        <v>175936</v>
      </c>
      <c r="E1370" s="3">
        <v>7402</v>
      </c>
      <c r="F1370" s="3">
        <v>1438</v>
      </c>
      <c r="G1370" s="3" t="s">
        <v>1353</v>
      </c>
      <c r="H1370" s="3" t="str">
        <f ca="1">IFERROR(__xludf.DUMMYFUNCTION("GOOGLETRANSLATE(B1370,""auto"",""en"")"),"Home Fabric")</f>
        <v>Home Fabric</v>
      </c>
      <c r="I1370" s="3" t="str">
        <f ca="1">IFERROR(__xludf.DUMMYFUNCTION("GOOGLETRANSLATE(C1370,""auto"",""en"")"),"Air conditioning dust cover")</f>
        <v>Air conditioning dust cover</v>
      </c>
    </row>
    <row r="1371" spans="1:9" ht="13" x14ac:dyDescent="0.15">
      <c r="A1371" s="2" t="s">
        <v>1351</v>
      </c>
      <c r="B1371" s="2" t="s">
        <v>1379</v>
      </c>
      <c r="C1371" s="2" t="s">
        <v>1381</v>
      </c>
      <c r="D1371" s="3">
        <v>175936</v>
      </c>
      <c r="E1371" s="3">
        <v>7402</v>
      </c>
      <c r="F1371" s="3">
        <v>1260</v>
      </c>
      <c r="G1371" s="3" t="s">
        <v>1353</v>
      </c>
      <c r="H1371" s="3" t="str">
        <f ca="1">IFERROR(__xludf.DUMMYFUNCTION("GOOGLETRANSLATE(B1371,""auto"",""en"")"),"Home Fabric")</f>
        <v>Home Fabric</v>
      </c>
      <c r="I1371" s="3" t="str">
        <f ca="1">IFERROR(__xludf.DUMMYFUNCTION("GOOGLETRANSLATE(C1371,""auto"",""en"")"),"Cross Stitch Tools and Accessories")</f>
        <v>Cross Stitch Tools and Accessories</v>
      </c>
    </row>
    <row r="1372" spans="1:9" ht="13" x14ac:dyDescent="0.15">
      <c r="A1372" s="2" t="s">
        <v>1351</v>
      </c>
      <c r="B1372" s="2" t="s">
        <v>1379</v>
      </c>
      <c r="C1372" s="2" t="s">
        <v>1382</v>
      </c>
      <c r="D1372" s="3">
        <v>175936</v>
      </c>
      <c r="E1372" s="3">
        <v>7402</v>
      </c>
      <c r="F1372" s="3">
        <v>866</v>
      </c>
      <c r="G1372" s="3" t="s">
        <v>1353</v>
      </c>
      <c r="H1372" s="3" t="str">
        <f ca="1">IFERROR(__xludf.DUMMYFUNCTION("GOOGLETRANSLATE(B1372,""auto"",""en"")"),"Home Fabric")</f>
        <v>Home Fabric</v>
      </c>
      <c r="I1372" s="3" t="str">
        <f ca="1">IFERROR(__xludf.DUMMYFUNCTION("GOOGLETRANSLATE(C1372,""auto"",""en"")"),"Table cloth")</f>
        <v>Table cloth</v>
      </c>
    </row>
    <row r="1373" spans="1:9" ht="13" x14ac:dyDescent="0.15">
      <c r="A1373" s="2" t="s">
        <v>1351</v>
      </c>
      <c r="B1373" s="2" t="s">
        <v>1379</v>
      </c>
      <c r="C1373" s="2" t="s">
        <v>1383</v>
      </c>
      <c r="D1373" s="3">
        <v>175936</v>
      </c>
      <c r="E1373" s="3">
        <v>7402</v>
      </c>
      <c r="F1373" s="3">
        <v>506</v>
      </c>
      <c r="G1373" s="3" t="s">
        <v>1353</v>
      </c>
      <c r="H1373" s="3" t="str">
        <f ca="1">IFERROR(__xludf.DUMMYFUNCTION("GOOGLETRANSLATE(B1373,""auto"",""en"")"),"Home Fabric")</f>
        <v>Home Fabric</v>
      </c>
      <c r="I1373" s="3" t="str">
        <f ca="1">IFERROR(__xludf.DUMMYFUNCTION("GOOGLETRANSLATE(C1373,""auto"",""en"")"),"Remote control dust cover")</f>
        <v>Remote control dust cover</v>
      </c>
    </row>
    <row r="1374" spans="1:9" ht="13" x14ac:dyDescent="0.15">
      <c r="A1374" s="2" t="s">
        <v>1351</v>
      </c>
      <c r="B1374" s="2" t="s">
        <v>1379</v>
      </c>
      <c r="C1374" s="2" t="s">
        <v>1384</v>
      </c>
      <c r="D1374" s="3">
        <v>175936</v>
      </c>
      <c r="E1374" s="3">
        <v>7402</v>
      </c>
      <c r="F1374" s="3">
        <v>393</v>
      </c>
      <c r="G1374" s="3" t="s">
        <v>1353</v>
      </c>
      <c r="H1374" s="3" t="str">
        <f ca="1">IFERROR(__xludf.DUMMYFUNCTION("GOOGLETRANSLATE(B1374,""auto"",""en"")"),"Home Fabric")</f>
        <v>Home Fabric</v>
      </c>
      <c r="I1374" s="3" t="str">
        <f ca="1">IFERROR(__xludf.DUMMYFUNCTION("GOOGLETRANSLATE(C1374,""auto"",""en"")"),"TV / PC dust cover")</f>
        <v>TV / PC dust cover</v>
      </c>
    </row>
    <row r="1375" spans="1:9" ht="13" x14ac:dyDescent="0.15">
      <c r="A1375" s="2" t="s">
        <v>1351</v>
      </c>
      <c r="B1375" s="2" t="s">
        <v>1379</v>
      </c>
      <c r="C1375" s="2" t="s">
        <v>1385</v>
      </c>
      <c r="D1375" s="3">
        <v>175936</v>
      </c>
      <c r="E1375" s="3">
        <v>7402</v>
      </c>
      <c r="F1375" s="3">
        <v>252</v>
      </c>
      <c r="G1375" s="3" t="s">
        <v>1353</v>
      </c>
      <c r="H1375" s="3" t="str">
        <f ca="1">IFERROR(__xludf.DUMMYFUNCTION("GOOGLETRANSLATE(B1375,""auto"",""en"")"),"Home Fabric")</f>
        <v>Home Fabric</v>
      </c>
      <c r="I1375" s="3" t="str">
        <f ca="1">IFERROR(__xludf.DUMMYFUNCTION("GOOGLETRANSLATE(C1375,""auto"",""en"")"),"Sofa cover")</f>
        <v>Sofa cover</v>
      </c>
    </row>
    <row r="1376" spans="1:9" ht="13" x14ac:dyDescent="0.15">
      <c r="A1376" s="2" t="s">
        <v>1351</v>
      </c>
      <c r="B1376" s="2" t="s">
        <v>1379</v>
      </c>
      <c r="C1376" s="2" t="s">
        <v>1386</v>
      </c>
      <c r="D1376" s="3">
        <v>175936</v>
      </c>
      <c r="E1376" s="3">
        <v>7402</v>
      </c>
      <c r="F1376" s="3">
        <v>192</v>
      </c>
      <c r="G1376" s="3" t="s">
        <v>1353</v>
      </c>
      <c r="H1376" s="3" t="str">
        <f ca="1">IFERROR(__xludf.DUMMYFUNCTION("GOOGLETRANSLATE(B1376,""auto"",""en"")"),"Home Fabric")</f>
        <v>Home Fabric</v>
      </c>
      <c r="I1376" s="3" t="str">
        <f ca="1">IFERROR(__xludf.DUMMYFUNCTION("GOOGLETRANSLATE(C1376,""auto"",""en"")"),"Microwave dust cover")</f>
        <v>Microwave dust cover</v>
      </c>
    </row>
    <row r="1377" spans="1:9" ht="13" x14ac:dyDescent="0.15">
      <c r="A1377" s="2" t="s">
        <v>1351</v>
      </c>
      <c r="B1377" s="2" t="s">
        <v>1379</v>
      </c>
      <c r="C1377" s="2" t="s">
        <v>1387</v>
      </c>
      <c r="D1377" s="3">
        <v>175936</v>
      </c>
      <c r="E1377" s="3">
        <v>7402</v>
      </c>
      <c r="F1377" s="3">
        <v>161</v>
      </c>
      <c r="G1377" s="3" t="s">
        <v>1353</v>
      </c>
      <c r="H1377" s="3" t="str">
        <f ca="1">IFERROR(__xludf.DUMMYFUNCTION("GOOGLETRANSLATE(B1377,""auto"",""en"")"),"Home Fabric")</f>
        <v>Home Fabric</v>
      </c>
      <c r="I1377" s="3" t="str">
        <f ca="1">IFERROR(__xludf.DUMMYFUNCTION("GOOGLETRANSLATE(C1377,""auto"",""en"")"),"Fan / fan dust cover")</f>
        <v>Fan / fan dust cover</v>
      </c>
    </row>
    <row r="1378" spans="1:9" ht="13" x14ac:dyDescent="0.15">
      <c r="A1378" s="2" t="s">
        <v>1351</v>
      </c>
      <c r="B1378" s="2" t="s">
        <v>1379</v>
      </c>
      <c r="C1378" s="2" t="s">
        <v>1388</v>
      </c>
      <c r="D1378" s="3">
        <v>175936</v>
      </c>
      <c r="E1378" s="3">
        <v>7402</v>
      </c>
      <c r="F1378" s="3">
        <v>77</v>
      </c>
      <c r="G1378" s="3" t="s">
        <v>1353</v>
      </c>
      <c r="H1378" s="3" t="str">
        <f ca="1">IFERROR(__xludf.DUMMYFUNCTION("GOOGLETRANSLATE(B1378,""auto"",""en"")"),"Home Fabric")</f>
        <v>Home Fabric</v>
      </c>
      <c r="I1378" s="3" t="str">
        <f ca="1">IFERROR(__xludf.DUMMYFUNCTION("GOOGLETRANSLATE(C1378,""auto"",""en"")"),"Coat / suit covers")</f>
        <v>Coat / suit covers</v>
      </c>
    </row>
    <row r="1379" spans="1:9" ht="13" x14ac:dyDescent="0.15">
      <c r="A1379" s="2" t="s">
        <v>1351</v>
      </c>
      <c r="B1379" s="2" t="s">
        <v>1379</v>
      </c>
      <c r="C1379" s="2" t="s">
        <v>1389</v>
      </c>
      <c r="D1379" s="3">
        <v>175936</v>
      </c>
      <c r="E1379" s="3">
        <v>7402</v>
      </c>
      <c r="F1379" s="3">
        <v>59</v>
      </c>
      <c r="G1379" s="3" t="s">
        <v>1353</v>
      </c>
      <c r="H1379" s="3" t="str">
        <f ca="1">IFERROR(__xludf.DUMMYFUNCTION("GOOGLETRANSLATE(B1379,""auto"",""en"")"),"Home Fabric")</f>
        <v>Home Fabric</v>
      </c>
      <c r="I1379" s="3" t="str">
        <f ca="1">IFERROR(__xludf.DUMMYFUNCTION("GOOGLETRANSLATE(C1379,""auto"",""en"")"),"Placemats")</f>
        <v>Placemats</v>
      </c>
    </row>
    <row r="1380" spans="1:9" ht="13" x14ac:dyDescent="0.15">
      <c r="A1380" s="2" t="s">
        <v>1351</v>
      </c>
      <c r="B1380" s="2" t="s">
        <v>1379</v>
      </c>
      <c r="C1380" s="2" t="s">
        <v>1390</v>
      </c>
      <c r="D1380" s="3">
        <v>175936</v>
      </c>
      <c r="E1380" s="3">
        <v>7402</v>
      </c>
      <c r="F1380" s="3">
        <v>35</v>
      </c>
      <c r="G1380" s="3" t="s">
        <v>1353</v>
      </c>
      <c r="H1380" s="3" t="str">
        <f ca="1">IFERROR(__xludf.DUMMYFUNCTION("GOOGLETRANSLATE(B1380,""auto"",""en"")"),"Home Fabric")</f>
        <v>Home Fabric</v>
      </c>
      <c r="I1380" s="3" t="str">
        <f ca="1">IFERROR(__xludf.DUMMYFUNCTION("GOOGLETRANSLATE(C1380,""auto"",""en"")"),"Creative gifts / diy handmade products")</f>
        <v>Creative gifts / diy handmade products</v>
      </c>
    </row>
    <row r="1381" spans="1:9" ht="13" x14ac:dyDescent="0.15">
      <c r="A1381" s="2" t="s">
        <v>1351</v>
      </c>
      <c r="B1381" s="2" t="s">
        <v>1379</v>
      </c>
      <c r="C1381" s="2" t="s">
        <v>1391</v>
      </c>
      <c r="D1381" s="3">
        <v>175936</v>
      </c>
      <c r="E1381" s="3">
        <v>7402</v>
      </c>
      <c r="F1381" s="3">
        <v>24</v>
      </c>
      <c r="G1381" s="3" t="s">
        <v>1353</v>
      </c>
      <c r="H1381" s="3" t="str">
        <f ca="1">IFERROR(__xludf.DUMMYFUNCTION("GOOGLETRANSLATE(B1381,""auto"",""en"")"),"Home Fabric")</f>
        <v>Home Fabric</v>
      </c>
      <c r="I1381" s="3" t="str">
        <f ca="1">IFERROR(__xludf.DUMMYFUNCTION("GOOGLETRANSLATE(C1381,""auto"",""en"")"),"Switch dust cover")</f>
        <v>Switch dust cover</v>
      </c>
    </row>
    <row r="1382" spans="1:9" ht="13" x14ac:dyDescent="0.15">
      <c r="A1382" s="2" t="s">
        <v>1351</v>
      </c>
      <c r="B1382" s="2" t="s">
        <v>1379</v>
      </c>
      <c r="C1382" s="2" t="s">
        <v>1392</v>
      </c>
      <c r="D1382" s="3">
        <v>175936</v>
      </c>
      <c r="E1382" s="3">
        <v>7402</v>
      </c>
      <c r="F1382" s="3">
        <v>6</v>
      </c>
      <c r="G1382" s="3" t="s">
        <v>1353</v>
      </c>
      <c r="H1382" s="3" t="str">
        <f ca="1">IFERROR(__xludf.DUMMYFUNCTION("GOOGLETRANSLATE(B1382,""auto"",""en"")"),"Home Fabric")</f>
        <v>Home Fabric</v>
      </c>
      <c r="I1382" s="3" t="str">
        <f ca="1">IFERROR(__xludf.DUMMYFUNCTION("GOOGLETRANSLATE(C1382,""auto"",""en"")"),"Telephone dust cover")</f>
        <v>Telephone dust cover</v>
      </c>
    </row>
    <row r="1383" spans="1:9" ht="13" x14ac:dyDescent="0.15">
      <c r="A1383" s="2" t="s">
        <v>1351</v>
      </c>
      <c r="B1383" s="2" t="s">
        <v>1393</v>
      </c>
      <c r="C1383" s="2" t="s">
        <v>1394</v>
      </c>
      <c r="D1383" s="3">
        <v>175936</v>
      </c>
      <c r="E1383" s="3">
        <v>7087</v>
      </c>
      <c r="F1383" s="3">
        <v>4808</v>
      </c>
      <c r="G1383" s="3" t="s">
        <v>1353</v>
      </c>
      <c r="H1383" s="3" t="str">
        <f ca="1">IFERROR(__xludf.DUMMYFUNCTION("GOOGLETRANSLATE(B1383,""auto"",""en"")"),"Curtains / screens / screen door")</f>
        <v>Curtains / screens / screen door</v>
      </c>
      <c r="I1383" s="3" t="str">
        <f ca="1">IFERROR(__xludf.DUMMYFUNCTION("GOOGLETRANSLATE(C1383,""auto"",""en"")"),"Shamenshachuang")</f>
        <v>Shamenshachuang</v>
      </c>
    </row>
    <row r="1384" spans="1:9" ht="13" x14ac:dyDescent="0.15">
      <c r="A1384" s="2" t="s">
        <v>1351</v>
      </c>
      <c r="B1384" s="2" t="s">
        <v>1393</v>
      </c>
      <c r="C1384" s="2" t="s">
        <v>1395</v>
      </c>
      <c r="D1384" s="3">
        <v>175936</v>
      </c>
      <c r="E1384" s="3">
        <v>7087</v>
      </c>
      <c r="F1384" s="3">
        <v>1943</v>
      </c>
      <c r="G1384" s="3" t="s">
        <v>1353</v>
      </c>
      <c r="H1384" s="3" t="str">
        <f ca="1">IFERROR(__xludf.DUMMYFUNCTION("GOOGLETRANSLATE(B1384,""auto"",""en"")"),"Curtains / screens / screen door")</f>
        <v>Curtains / screens / screen door</v>
      </c>
      <c r="I1384" s="3" t="str">
        <f ca="1">IFERROR(__xludf.DUMMYFUNCTION("GOOGLETRANSLATE(C1384,""auto"",""en"")"),"Curtain")</f>
        <v>Curtain</v>
      </c>
    </row>
    <row r="1385" spans="1:9" ht="13" x14ac:dyDescent="0.15">
      <c r="A1385" s="2" t="s">
        <v>1351</v>
      </c>
      <c r="B1385" s="2" t="s">
        <v>1393</v>
      </c>
      <c r="C1385" s="2" t="s">
        <v>1396</v>
      </c>
      <c r="D1385" s="3">
        <v>175936</v>
      </c>
      <c r="E1385" s="3">
        <v>7087</v>
      </c>
      <c r="F1385" s="3">
        <v>134</v>
      </c>
      <c r="G1385" s="3" t="s">
        <v>1353</v>
      </c>
      <c r="H1385" s="3" t="str">
        <f ca="1">IFERROR(__xludf.DUMMYFUNCTION("GOOGLETRANSLATE(B1385,""auto"",""en"")"),"Curtains / screens / screen door")</f>
        <v>Curtains / screens / screen door</v>
      </c>
      <c r="I1385" s="3" t="str">
        <f ca="1">IFERROR(__xludf.DUMMYFUNCTION("GOOGLETRANSLATE(C1385,""auto"",""en"")"),"Finished curtains")</f>
        <v>Finished curtains</v>
      </c>
    </row>
    <row r="1386" spans="1:9" ht="13" x14ac:dyDescent="0.15">
      <c r="A1386" s="2" t="s">
        <v>1351</v>
      </c>
      <c r="B1386" s="2" t="s">
        <v>1393</v>
      </c>
      <c r="C1386" s="2" t="s">
        <v>1397</v>
      </c>
      <c r="D1386" s="3">
        <v>175936</v>
      </c>
      <c r="E1386" s="3">
        <v>7087</v>
      </c>
      <c r="F1386" s="3">
        <v>97</v>
      </c>
      <c r="G1386" s="3" t="s">
        <v>1353</v>
      </c>
      <c r="H1386" s="3" t="str">
        <f ca="1">IFERROR(__xludf.DUMMYFUNCTION("GOOGLETRANSLATE(B1386,""auto"",""en"")"),"Curtains / screens / screen door")</f>
        <v>Curtains / screens / screen door</v>
      </c>
      <c r="I1386" s="3" t="str">
        <f ca="1">IFERROR(__xludf.DUMMYFUNCTION("GOOGLETRANSLATE(C1386,""auto"",""en"")"),"Shower Curtains")</f>
        <v>Shower Curtains</v>
      </c>
    </row>
    <row r="1387" spans="1:9" ht="13" x14ac:dyDescent="0.15">
      <c r="A1387" s="2" t="s">
        <v>1351</v>
      </c>
      <c r="B1387" s="2" t="s">
        <v>1393</v>
      </c>
      <c r="C1387" s="2" t="s">
        <v>1398</v>
      </c>
      <c r="D1387" s="3">
        <v>175936</v>
      </c>
      <c r="E1387" s="3">
        <v>7087</v>
      </c>
      <c r="F1387" s="3">
        <v>76</v>
      </c>
      <c r="G1387" s="3" t="s">
        <v>1353</v>
      </c>
      <c r="H1387" s="3" t="str">
        <f ca="1">IFERROR(__xludf.DUMMYFUNCTION("GOOGLETRANSLATE(B1387,""auto"",""en"")"),"Curtains / screens / screen door")</f>
        <v>Curtains / screens / screen door</v>
      </c>
      <c r="I1387" s="3" t="str">
        <f ca="1">IFERROR(__xludf.DUMMYFUNCTION("GOOGLETRANSLATE(C1387,""auto"",""en"")"),"Shower curtain rod")</f>
        <v>Shower curtain rod</v>
      </c>
    </row>
    <row r="1388" spans="1:9" ht="13" x14ac:dyDescent="0.15">
      <c r="A1388" s="2" t="s">
        <v>1351</v>
      </c>
      <c r="B1388" s="2" t="s">
        <v>1393</v>
      </c>
      <c r="C1388" s="2" t="s">
        <v>1399</v>
      </c>
      <c r="D1388" s="3">
        <v>175936</v>
      </c>
      <c r="E1388" s="3">
        <v>7087</v>
      </c>
      <c r="F1388" s="3">
        <v>29</v>
      </c>
      <c r="G1388" s="3" t="s">
        <v>1353</v>
      </c>
      <c r="H1388" s="3" t="str">
        <f ca="1">IFERROR(__xludf.DUMMYFUNCTION("GOOGLETRANSLATE(B1388,""auto"",""en"")"),"Curtains / screens / screen door")</f>
        <v>Curtains / screens / screen door</v>
      </c>
      <c r="I1388" s="3" t="str">
        <f ca="1">IFERROR(__xludf.DUMMYFUNCTION("GOOGLETRANSLATE(C1388,""auto"",""en"")"),"The curtain")</f>
        <v>The curtain</v>
      </c>
    </row>
    <row r="1389" spans="1:9" ht="13" x14ac:dyDescent="0.15">
      <c r="A1389" s="2" t="s">
        <v>1351</v>
      </c>
      <c r="B1389" s="2" t="s">
        <v>744</v>
      </c>
      <c r="C1389" s="2" t="s">
        <v>744</v>
      </c>
      <c r="D1389" s="3">
        <v>175936</v>
      </c>
      <c r="E1389" s="3">
        <v>7086</v>
      </c>
      <c r="F1389" s="3">
        <v>7086</v>
      </c>
      <c r="G1389" s="3" t="s">
        <v>1353</v>
      </c>
      <c r="H1389" s="3" t="str">
        <f ca="1">IFERROR(__xludf.DUMMYFUNCTION("GOOGLETRANSLATE(B1389,""auto"",""en"")"),"Bedding package")</f>
        <v>Bedding package</v>
      </c>
      <c r="I1389" s="3" t="str">
        <f ca="1">IFERROR(__xludf.DUMMYFUNCTION("GOOGLETRANSLATE(C1389,""auto"",""en"")"),"Bedding package")</f>
        <v>Bedding package</v>
      </c>
    </row>
    <row r="1390" spans="1:9" ht="13" x14ac:dyDescent="0.15">
      <c r="A1390" s="2" t="s">
        <v>1351</v>
      </c>
      <c r="B1390" s="2" t="s">
        <v>1400</v>
      </c>
      <c r="C1390" s="2" t="s">
        <v>1401</v>
      </c>
      <c r="D1390" s="3">
        <v>175936</v>
      </c>
      <c r="E1390" s="3">
        <v>6528</v>
      </c>
      <c r="F1390" s="3">
        <v>4539</v>
      </c>
      <c r="G1390" s="3" t="s">
        <v>1353</v>
      </c>
      <c r="H1390" s="3" t="str">
        <f ca="1">IFERROR(__xludf.DUMMYFUNCTION("GOOGLETRANSLATE(B1390,""auto"",""en"")"),"Pillow / pillowcases")</f>
        <v>Pillow / pillowcases</v>
      </c>
      <c r="I1390" s="3" t="str">
        <f ca="1">IFERROR(__xludf.DUMMYFUNCTION("GOOGLETRANSLATE(C1390,""auto"",""en"")"),"Pillow / Pillow / Pillow / Neck Pillow")</f>
        <v>Pillow / Pillow / Pillow / Neck Pillow</v>
      </c>
    </row>
    <row r="1391" spans="1:9" ht="13" x14ac:dyDescent="0.15">
      <c r="A1391" s="2" t="s">
        <v>1351</v>
      </c>
      <c r="B1391" s="2" t="s">
        <v>1400</v>
      </c>
      <c r="C1391" s="2" t="s">
        <v>1402</v>
      </c>
      <c r="D1391" s="3">
        <v>175936</v>
      </c>
      <c r="E1391" s="3">
        <v>6528</v>
      </c>
      <c r="F1391" s="3">
        <v>1552</v>
      </c>
      <c r="G1391" s="3" t="s">
        <v>1353</v>
      </c>
      <c r="H1391" s="3" t="str">
        <f ca="1">IFERROR(__xludf.DUMMYFUNCTION("GOOGLETRANSLATE(B1391,""auto"",""en"")"),"Pillow / pillowcases")</f>
        <v>Pillow / pillowcases</v>
      </c>
      <c r="I1391" s="3" t="str">
        <f ca="1">IFERROR(__xludf.DUMMYFUNCTION("GOOGLETRANSLATE(C1391,""auto"",""en"")"),"pillowcase")</f>
        <v>pillowcase</v>
      </c>
    </row>
    <row r="1392" spans="1:9" ht="13" x14ac:dyDescent="0.15">
      <c r="A1392" s="2" t="s">
        <v>1351</v>
      </c>
      <c r="B1392" s="2" t="s">
        <v>1400</v>
      </c>
      <c r="C1392" s="2" t="s">
        <v>1403</v>
      </c>
      <c r="D1392" s="3">
        <v>175936</v>
      </c>
      <c r="E1392" s="3">
        <v>6528</v>
      </c>
      <c r="F1392" s="3">
        <v>437</v>
      </c>
      <c r="G1392" s="3" t="s">
        <v>1353</v>
      </c>
      <c r="H1392" s="3" t="str">
        <f ca="1">IFERROR(__xludf.DUMMYFUNCTION("GOOGLETRANSLATE(B1392,""auto"",""en"")"),"Pillow / pillowcases")</f>
        <v>Pillow / pillowcases</v>
      </c>
      <c r="I1392" s="3" t="str">
        <f ca="1">IFERROR(__xludf.DUMMYFUNCTION("GOOGLETRANSLATE(C1392,""auto"",""en"")"),"Pillow")</f>
        <v>Pillow</v>
      </c>
    </row>
    <row r="1393" spans="1:9" ht="13" x14ac:dyDescent="0.15">
      <c r="A1393" s="2" t="s">
        <v>1351</v>
      </c>
      <c r="B1393" s="2" t="s">
        <v>1404</v>
      </c>
      <c r="C1393" s="2" t="s">
        <v>1405</v>
      </c>
      <c r="D1393" s="3">
        <v>175936</v>
      </c>
      <c r="E1393" s="3">
        <v>5505</v>
      </c>
      <c r="F1393" s="3">
        <v>3388</v>
      </c>
      <c r="G1393" s="3" t="s">
        <v>1353</v>
      </c>
      <c r="H1393" s="3" t="str">
        <f ca="1">IFERROR(__xludf.DUMMYFUNCTION("GOOGLETRANSLATE(B1393,""auto"",""en"")"),"Pillow Cushion")</f>
        <v>Pillow Cushion</v>
      </c>
      <c r="I1393" s="3" t="str">
        <f ca="1">IFERROR(__xludf.DUMMYFUNCTION("GOOGLETRANSLATE(C1393,""auto"",""en"")"),"Cushion / cushion / sofa cushion")</f>
        <v>Cushion / cushion / sofa cushion</v>
      </c>
    </row>
    <row r="1394" spans="1:9" ht="13" x14ac:dyDescent="0.15">
      <c r="A1394" s="2" t="s">
        <v>1351</v>
      </c>
      <c r="B1394" s="2" t="s">
        <v>1404</v>
      </c>
      <c r="C1394" s="2" t="s">
        <v>1406</v>
      </c>
      <c r="D1394" s="3">
        <v>175936</v>
      </c>
      <c r="E1394" s="3">
        <v>5505</v>
      </c>
      <c r="F1394" s="3">
        <v>2072</v>
      </c>
      <c r="G1394" s="3" t="s">
        <v>1353</v>
      </c>
      <c r="H1394" s="3" t="str">
        <f ca="1">IFERROR(__xludf.DUMMYFUNCTION("GOOGLETRANSLATE(B1394,""auto"",""en"")"),"Pillow Cushion")</f>
        <v>Pillow Cushion</v>
      </c>
      <c r="I1394" s="3" t="str">
        <f ca="1">IFERROR(__xludf.DUMMYFUNCTION("GOOGLETRANSLATE(C1394,""auto"",""en"")"),"Pillow / pillow")</f>
        <v>Pillow / pillow</v>
      </c>
    </row>
    <row r="1395" spans="1:9" ht="13" x14ac:dyDescent="0.15">
      <c r="A1395" s="2" t="s">
        <v>1351</v>
      </c>
      <c r="B1395" s="2" t="s">
        <v>1404</v>
      </c>
      <c r="C1395" s="2" t="s">
        <v>1407</v>
      </c>
      <c r="D1395" s="3">
        <v>175936</v>
      </c>
      <c r="E1395" s="3">
        <v>5505</v>
      </c>
      <c r="F1395" s="3">
        <v>45</v>
      </c>
      <c r="G1395" s="3" t="s">
        <v>1353</v>
      </c>
      <c r="H1395" s="3" t="str">
        <f ca="1">IFERROR(__xludf.DUMMYFUNCTION("GOOGLETRANSLATE(B1395,""auto"",""en"")"),"Pillow Cushion")</f>
        <v>Pillow Cushion</v>
      </c>
      <c r="I1395" s="3" t="str">
        <f ca="1">IFERROR(__xludf.DUMMYFUNCTION("GOOGLETRANSLATE(C1395,""auto"",""en"")"),"Pillow")</f>
        <v>Pillow</v>
      </c>
    </row>
    <row r="1396" spans="1:9" ht="13" x14ac:dyDescent="0.15">
      <c r="A1396" s="2" t="s">
        <v>1351</v>
      </c>
      <c r="B1396" s="2" t="s">
        <v>1408</v>
      </c>
      <c r="C1396" s="2" t="s">
        <v>1408</v>
      </c>
      <c r="D1396" s="3">
        <v>175936</v>
      </c>
      <c r="E1396" s="3">
        <v>2267</v>
      </c>
      <c r="F1396" s="3">
        <v>2267</v>
      </c>
      <c r="G1396" s="3" t="s">
        <v>1353</v>
      </c>
      <c r="H1396" s="3" t="str">
        <f ca="1">IFERROR(__xludf.DUMMYFUNCTION("GOOGLETRANSLATE(B1396,""auto"",""en"")"),"Leisure blanket / blanket / carpet")</f>
        <v>Leisure blanket / blanket / carpet</v>
      </c>
      <c r="I1396" s="3" t="str">
        <f ca="1">IFERROR(__xludf.DUMMYFUNCTION("GOOGLETRANSLATE(C1396,""auto"",""en"")"),"Leisure blanket / blanket / carpet")</f>
        <v>Leisure blanket / blanket / carpet</v>
      </c>
    </row>
    <row r="1397" spans="1:9" ht="13" x14ac:dyDescent="0.15">
      <c r="A1397" s="2" t="s">
        <v>1351</v>
      </c>
      <c r="B1397" s="2" t="s">
        <v>1409</v>
      </c>
      <c r="C1397" s="2" t="s">
        <v>1409</v>
      </c>
      <c r="D1397" s="3">
        <v>175936</v>
      </c>
      <c r="E1397" s="3">
        <v>816</v>
      </c>
      <c r="F1397" s="3">
        <v>816</v>
      </c>
      <c r="G1397" s="3" t="s">
        <v>1353</v>
      </c>
      <c r="H1397" s="3" t="str">
        <f ca="1">IFERROR(__xludf.DUMMYFUNCTION("GOOGLETRANSLATE(B1397,""auto"",""en"")"),"wallpaper")</f>
        <v>wallpaper</v>
      </c>
      <c r="I1397" s="3" t="str">
        <f ca="1">IFERROR(__xludf.DUMMYFUNCTION("GOOGLETRANSLATE(C1397,""auto"",""en"")"),"wallpaper")</f>
        <v>wallpaper</v>
      </c>
    </row>
    <row r="1398" spans="1:9" ht="13" x14ac:dyDescent="0.15">
      <c r="A1398" s="2" t="s">
        <v>1351</v>
      </c>
      <c r="B1398" s="2" t="s">
        <v>1410</v>
      </c>
      <c r="C1398" s="2" t="s">
        <v>1411</v>
      </c>
      <c r="D1398" s="3">
        <v>175936</v>
      </c>
      <c r="E1398" s="3">
        <v>695</v>
      </c>
      <c r="F1398" s="3">
        <v>392</v>
      </c>
      <c r="G1398" s="3" t="s">
        <v>1353</v>
      </c>
      <c r="H1398" s="3" t="str">
        <f ca="1">IFERROR(__xludf.DUMMYFUNCTION("GOOGLETRANSLATE(B1398,""auto"",""en"")"),"Carpet mats")</f>
        <v>Carpet mats</v>
      </c>
      <c r="I1398" s="3" t="str">
        <f ca="1">IFERROR(__xludf.DUMMYFUNCTION("GOOGLETRANSLATE(C1398,""auto"",""en"")"),"carpet")</f>
        <v>carpet</v>
      </c>
    </row>
    <row r="1399" spans="1:9" ht="13" x14ac:dyDescent="0.15">
      <c r="A1399" s="2" t="s">
        <v>1351</v>
      </c>
      <c r="B1399" s="2" t="s">
        <v>1410</v>
      </c>
      <c r="C1399" s="2" t="s">
        <v>1412</v>
      </c>
      <c r="D1399" s="3">
        <v>175936</v>
      </c>
      <c r="E1399" s="3">
        <v>695</v>
      </c>
      <c r="F1399" s="3">
        <v>186</v>
      </c>
      <c r="G1399" s="3" t="s">
        <v>1353</v>
      </c>
      <c r="H1399" s="3" t="str">
        <f ca="1">IFERROR(__xludf.DUMMYFUNCTION("GOOGLETRANSLATE(B1399,""auto"",""en"")"),"Carpet mats")</f>
        <v>Carpet mats</v>
      </c>
      <c r="I1399" s="3" t="str">
        <f ca="1">IFERROR(__xludf.DUMMYFUNCTION("GOOGLETRANSLATE(C1399,""auto"",""en"")"),"Bath mats")</f>
        <v>Bath mats</v>
      </c>
    </row>
    <row r="1400" spans="1:9" ht="13" x14ac:dyDescent="0.15">
      <c r="A1400" s="2" t="s">
        <v>1351</v>
      </c>
      <c r="B1400" s="2" t="s">
        <v>1410</v>
      </c>
      <c r="C1400" s="2" t="s">
        <v>1413</v>
      </c>
      <c r="D1400" s="3">
        <v>175936</v>
      </c>
      <c r="E1400" s="3">
        <v>695</v>
      </c>
      <c r="F1400" s="3">
        <v>117</v>
      </c>
      <c r="G1400" s="3" t="s">
        <v>1353</v>
      </c>
      <c r="H1400" s="3" t="str">
        <f ca="1">IFERROR(__xludf.DUMMYFUNCTION("GOOGLETRANSLATE(B1400,""auto"",""en"")"),"Carpet mats")</f>
        <v>Carpet mats</v>
      </c>
      <c r="I1400" s="3" t="str">
        <f ca="1">IFERROR(__xludf.DUMMYFUNCTION("GOOGLETRANSLATE(C1400,""auto"",""en"")"),"carpet")</f>
        <v>carpet</v>
      </c>
    </row>
    <row r="1401" spans="1:9" ht="13" x14ac:dyDescent="0.15">
      <c r="A1401" s="2" t="s">
        <v>1351</v>
      </c>
      <c r="B1401" s="2" t="s">
        <v>1414</v>
      </c>
      <c r="C1401" s="2" t="s">
        <v>1415</v>
      </c>
      <c r="D1401" s="3">
        <v>175936</v>
      </c>
      <c r="E1401" s="3">
        <v>644</v>
      </c>
      <c r="F1401" s="3">
        <v>375</v>
      </c>
      <c r="G1401" s="3" t="s">
        <v>1353</v>
      </c>
      <c r="H1401" s="3" t="str">
        <f ca="1">IFERROR(__xludf.DUMMYFUNCTION("GOOGLETRANSLATE(B1401,""auto"",""en"")"),"Decorative paintings")</f>
        <v>Decorative paintings</v>
      </c>
      <c r="I1401" s="3" t="str">
        <f ca="1">IFERROR(__xludf.DUMMYFUNCTION("GOOGLETRANSLATE(C1401,""auto"",""en"")"),"Diamond drawing")</f>
        <v>Diamond drawing</v>
      </c>
    </row>
    <row r="1402" spans="1:9" ht="13" x14ac:dyDescent="0.15">
      <c r="A1402" s="2" t="s">
        <v>1351</v>
      </c>
      <c r="B1402" s="2" t="s">
        <v>1414</v>
      </c>
      <c r="C1402" s="2" t="s">
        <v>1414</v>
      </c>
      <c r="D1402" s="3">
        <v>175936</v>
      </c>
      <c r="E1402" s="3">
        <v>644</v>
      </c>
      <c r="F1402" s="3">
        <v>269</v>
      </c>
      <c r="G1402" s="3" t="s">
        <v>1353</v>
      </c>
      <c r="H1402" s="3" t="str">
        <f ca="1">IFERROR(__xludf.DUMMYFUNCTION("GOOGLETRANSLATE(B1402,""auto"",""en"")"),"Decorative paintings")</f>
        <v>Decorative paintings</v>
      </c>
      <c r="I1402" s="3" t="str">
        <f ca="1">IFERROR(__xludf.DUMMYFUNCTION("GOOGLETRANSLATE(C1402,""auto"",""en"")"),"Decorative paintings")</f>
        <v>Decorative paintings</v>
      </c>
    </row>
    <row r="1403" spans="1:9" ht="13" x14ac:dyDescent="0.15">
      <c r="A1403" s="2" t="s">
        <v>1351</v>
      </c>
      <c r="B1403" s="2" t="s">
        <v>1416</v>
      </c>
      <c r="C1403" s="2" t="s">
        <v>1417</v>
      </c>
      <c r="D1403" s="3">
        <v>175936</v>
      </c>
      <c r="E1403" s="3">
        <v>444</v>
      </c>
      <c r="F1403" s="3">
        <v>442</v>
      </c>
      <c r="G1403" s="3" t="s">
        <v>1353</v>
      </c>
      <c r="H1403" s="3" t="str">
        <f ca="1">IFERROR(__xludf.DUMMYFUNCTION("GOOGLETRANSLATE(B1403,""auto"",""en"")"),"Mattress / Mattress")</f>
        <v>Mattress / Mattress</v>
      </c>
      <c r="I1403" s="3" t="str">
        <f ca="1">IFERROR(__xludf.DUMMYFUNCTION("GOOGLETRANSLATE(C1403,""auto"",""en"")"),"Mattress / mattress / bed pad / tatami")</f>
        <v>Mattress / mattress / bed pad / tatami</v>
      </c>
    </row>
    <row r="1404" spans="1:9" ht="13" x14ac:dyDescent="0.15">
      <c r="A1404" s="2" t="s">
        <v>1351</v>
      </c>
      <c r="B1404" s="2" t="s">
        <v>1416</v>
      </c>
      <c r="C1404" s="2" t="s">
        <v>1418</v>
      </c>
      <c r="D1404" s="3">
        <v>175936</v>
      </c>
      <c r="E1404" s="3">
        <v>444</v>
      </c>
      <c r="F1404" s="3">
        <v>2</v>
      </c>
      <c r="G1404" s="3" t="s">
        <v>1353</v>
      </c>
      <c r="H1404" s="3" t="str">
        <f ca="1">IFERROR(__xludf.DUMMYFUNCTION("GOOGLETRANSLATE(B1404,""auto"",""en"")"),"Mattress / Mattress")</f>
        <v>Mattress / Mattress</v>
      </c>
      <c r="I1404" s="3" t="str">
        <f ca="1">IFERROR(__xludf.DUMMYFUNCTION("GOOGLETRANSLATE(C1404,""auto"",""en"")"),"Bed pad")</f>
        <v>Bed pad</v>
      </c>
    </row>
    <row r="1405" spans="1:9" ht="13" x14ac:dyDescent="0.15">
      <c r="A1405" s="2" t="s">
        <v>1351</v>
      </c>
      <c r="B1405" s="2" t="s">
        <v>1419</v>
      </c>
      <c r="C1405" s="2" t="s">
        <v>1419</v>
      </c>
      <c r="D1405" s="3">
        <v>175936</v>
      </c>
      <c r="E1405" s="3">
        <v>13</v>
      </c>
      <c r="F1405" s="3">
        <v>13</v>
      </c>
      <c r="G1405" s="3" t="s">
        <v>1353</v>
      </c>
      <c r="H1405" s="3" t="str">
        <f ca="1">IFERROR(__xludf.DUMMYFUNCTION("GOOGLETRANSLATE(B1405,""auto"",""en"")"),"Electric blankets")</f>
        <v>Electric blankets</v>
      </c>
      <c r="I1405" s="3" t="str">
        <f ca="1">IFERROR(__xludf.DUMMYFUNCTION("GOOGLETRANSLATE(C1405,""auto"",""en"")"),"Electric blankets")</f>
        <v>Electric blankets</v>
      </c>
    </row>
    <row r="1406" spans="1:9" ht="13" x14ac:dyDescent="0.15">
      <c r="A1406" s="2" t="s">
        <v>1420</v>
      </c>
      <c r="B1406" s="2" t="s">
        <v>1296</v>
      </c>
      <c r="C1406" s="2" t="s">
        <v>1296</v>
      </c>
      <c r="D1406" s="3">
        <v>158340</v>
      </c>
      <c r="E1406" s="3">
        <v>43986</v>
      </c>
      <c r="F1406" s="3">
        <v>43986</v>
      </c>
      <c r="G1406" s="3" t="s">
        <v>1421</v>
      </c>
      <c r="H1406" s="3" t="str">
        <f ca="1">IFERROR(__xludf.DUMMYFUNCTION("GOOGLETRANSLATE(B1406,""auto"",""en"")"),"Bra")</f>
        <v>Bra</v>
      </c>
      <c r="I1406" s="3" t="str">
        <f ca="1">IFERROR(__xludf.DUMMYFUNCTION("GOOGLETRANSLATE(C1406,""auto"",""en"")"),"Bra")</f>
        <v>Bra</v>
      </c>
    </row>
    <row r="1407" spans="1:9" ht="13" x14ac:dyDescent="0.15">
      <c r="A1407" s="2" t="s">
        <v>1420</v>
      </c>
      <c r="B1407" s="2" t="s">
        <v>625</v>
      </c>
      <c r="C1407" s="2" t="s">
        <v>625</v>
      </c>
      <c r="D1407" s="3">
        <v>158340</v>
      </c>
      <c r="E1407" s="3">
        <v>28678</v>
      </c>
      <c r="F1407" s="3">
        <v>28678</v>
      </c>
      <c r="G1407" s="3" t="s">
        <v>1421</v>
      </c>
      <c r="H1407" s="3" t="str">
        <f ca="1">IFERROR(__xludf.DUMMYFUNCTION("GOOGLETRANSLATE(B1407,""auto"",""en"")"),"dress")</f>
        <v>dress</v>
      </c>
      <c r="I1407" s="3" t="str">
        <f ca="1">IFERROR(__xludf.DUMMYFUNCTION("GOOGLETRANSLATE(C1407,""auto"",""en"")"),"dress")</f>
        <v>dress</v>
      </c>
    </row>
    <row r="1408" spans="1:9" ht="13" x14ac:dyDescent="0.15">
      <c r="A1408" s="2" t="s">
        <v>1420</v>
      </c>
      <c r="B1408" s="2" t="s">
        <v>1422</v>
      </c>
      <c r="C1408" s="2" t="s">
        <v>1422</v>
      </c>
      <c r="D1408" s="3">
        <v>158340</v>
      </c>
      <c r="E1408" s="3">
        <v>20204</v>
      </c>
      <c r="F1408" s="3">
        <v>20204</v>
      </c>
      <c r="G1408" s="3" t="s">
        <v>1421</v>
      </c>
      <c r="H1408" s="3" t="str">
        <f ca="1">IFERROR(__xludf.DUMMYFUNCTION("GOOGLETRANSLATE(B1408,""auto"",""en"")"),"Prop belly pants")</f>
        <v>Prop belly pants</v>
      </c>
      <c r="I1408" s="3" t="str">
        <f ca="1">IFERROR(__xludf.DUMMYFUNCTION("GOOGLETRANSLATE(C1408,""auto"",""en"")"),"Prop belly pants")</f>
        <v>Prop belly pants</v>
      </c>
    </row>
    <row r="1409" spans="1:9" ht="13" x14ac:dyDescent="0.15">
      <c r="A1409" s="2" t="s">
        <v>1420</v>
      </c>
      <c r="B1409" s="2" t="s">
        <v>1290</v>
      </c>
      <c r="C1409" s="2" t="s">
        <v>1290</v>
      </c>
      <c r="D1409" s="3">
        <v>158340</v>
      </c>
      <c r="E1409" s="3">
        <v>16410</v>
      </c>
      <c r="F1409" s="3">
        <v>16410</v>
      </c>
      <c r="G1409" s="3" t="s">
        <v>1421</v>
      </c>
      <c r="H1409" s="3" t="str">
        <f ca="1">IFERROR(__xludf.DUMMYFUNCTION("GOOGLETRANSLATE(B1409,""auto"",""en"")"),"Underpants")</f>
        <v>Underpants</v>
      </c>
      <c r="I1409" s="3" t="str">
        <f ca="1">IFERROR(__xludf.DUMMYFUNCTION("GOOGLETRANSLATE(C1409,""auto"",""en"")"),"Underpants")</f>
        <v>Underpants</v>
      </c>
    </row>
    <row r="1410" spans="1:9" ht="13" x14ac:dyDescent="0.15">
      <c r="A1410" s="2" t="s">
        <v>1420</v>
      </c>
      <c r="B1410" s="2" t="s">
        <v>1423</v>
      </c>
      <c r="C1410" s="2" t="s">
        <v>1423</v>
      </c>
      <c r="D1410" s="3">
        <v>158340</v>
      </c>
      <c r="E1410" s="3">
        <v>16010</v>
      </c>
      <c r="F1410" s="3">
        <v>16010</v>
      </c>
      <c r="G1410" s="3" t="s">
        <v>1421</v>
      </c>
      <c r="H1410" s="3" t="str">
        <f ca="1">IFERROR(__xludf.DUMMYFUNCTION("GOOGLETRANSLATE(B1410,""auto"",""en"")"),"Pregnant women pajamas / home service")</f>
        <v>Pregnant women pajamas / home service</v>
      </c>
      <c r="I1410" s="3" t="str">
        <f ca="1">IFERROR(__xludf.DUMMYFUNCTION("GOOGLETRANSLATE(C1410,""auto"",""en"")"),"Pregnant women pajamas / home service")</f>
        <v>Pregnant women pajamas / home service</v>
      </c>
    </row>
    <row r="1411" spans="1:9" ht="13" x14ac:dyDescent="0.15">
      <c r="A1411" s="2" t="s">
        <v>1420</v>
      </c>
      <c r="B1411" s="2" t="s">
        <v>1424</v>
      </c>
      <c r="C1411" s="2" t="s">
        <v>1424</v>
      </c>
      <c r="D1411" s="3">
        <v>158340</v>
      </c>
      <c r="E1411" s="3">
        <v>8132</v>
      </c>
      <c r="F1411" s="3">
        <v>8132</v>
      </c>
      <c r="G1411" s="3" t="s">
        <v>1421</v>
      </c>
      <c r="H1411" s="3" t="str">
        <f ca="1">IFERROR(__xludf.DUMMYFUNCTION("GOOGLETRANSLATE(B1411,""auto"",""en"")"),"Plastic body clothing")</f>
        <v>Plastic body clothing</v>
      </c>
      <c r="I1411" s="3" t="str">
        <f ca="1">IFERROR(__xludf.DUMMYFUNCTION("GOOGLETRANSLATE(C1411,""auto"",""en"")"),"Plastic body clothing")</f>
        <v>Plastic body clothing</v>
      </c>
    </row>
    <row r="1412" spans="1:9" ht="13" x14ac:dyDescent="0.15">
      <c r="A1412" s="2" t="s">
        <v>1420</v>
      </c>
      <c r="B1412" s="2" t="s">
        <v>1425</v>
      </c>
      <c r="C1412" s="2" t="s">
        <v>1425</v>
      </c>
      <c r="D1412" s="3">
        <v>158340</v>
      </c>
      <c r="E1412" s="3">
        <v>4628</v>
      </c>
      <c r="F1412" s="3">
        <v>4628</v>
      </c>
      <c r="G1412" s="3" t="s">
        <v>1421</v>
      </c>
      <c r="H1412" s="3" t="str">
        <f ca="1">IFERROR(__xludf.DUMMYFUNCTION("GOOGLETRANSLATE(B1412,""auto"",""en"")"),"Other clothing pregnant mother")</f>
        <v>Other clothing pregnant mother</v>
      </c>
      <c r="I1412" s="3" t="str">
        <f ca="1">IFERROR(__xludf.DUMMYFUNCTION("GOOGLETRANSLATE(C1412,""auto"",""en"")"),"Other clothing pregnant mother")</f>
        <v>Other clothing pregnant mother</v>
      </c>
    </row>
    <row r="1413" spans="1:9" ht="13" x14ac:dyDescent="0.15">
      <c r="A1413" s="2" t="s">
        <v>1420</v>
      </c>
      <c r="B1413" s="3" t="s">
        <v>599</v>
      </c>
      <c r="C1413" s="3" t="s">
        <v>599</v>
      </c>
      <c r="D1413" s="3">
        <v>158340</v>
      </c>
      <c r="E1413" s="3">
        <v>4539</v>
      </c>
      <c r="F1413" s="3">
        <v>4539</v>
      </c>
      <c r="G1413" s="3" t="s">
        <v>1421</v>
      </c>
      <c r="H1413" s="3" t="str">
        <f ca="1">IFERROR(__xludf.DUMMYFUNCTION("GOOGLETRANSLATE(B1413,""auto"",""en"")"),"T-shirts")</f>
        <v>T-shirts</v>
      </c>
      <c r="I1413" s="3" t="str">
        <f ca="1">IFERROR(__xludf.DUMMYFUNCTION("GOOGLETRANSLATE(C1413,""auto"",""en"")"),"T-shirts")</f>
        <v>T-shirts</v>
      </c>
    </row>
    <row r="1414" spans="1:9" ht="13" x14ac:dyDescent="0.15">
      <c r="A1414" s="2" t="s">
        <v>1420</v>
      </c>
      <c r="B1414" s="2" t="s">
        <v>1426</v>
      </c>
      <c r="C1414" s="2" t="s">
        <v>1426</v>
      </c>
      <c r="D1414" s="3">
        <v>158340</v>
      </c>
      <c r="E1414" s="3">
        <v>4445</v>
      </c>
      <c r="F1414" s="3">
        <v>4445</v>
      </c>
      <c r="G1414" s="3" t="s">
        <v>1421</v>
      </c>
      <c r="H1414" s="3" t="str">
        <f ca="1">IFERROR(__xludf.DUMMYFUNCTION("GOOGLETRANSLATE(B1414,""auto"",""en"")"),"Buru Yi")</f>
        <v>Buru Yi</v>
      </c>
      <c r="I1414" s="3" t="str">
        <f ca="1">IFERROR(__xludf.DUMMYFUNCTION("GOOGLETRANSLATE(C1414,""auto"",""en"")"),"Buru Yi")</f>
        <v>Buru Yi</v>
      </c>
    </row>
    <row r="1415" spans="1:9" ht="13" x14ac:dyDescent="0.15">
      <c r="A1415" s="2" t="s">
        <v>1420</v>
      </c>
      <c r="B1415" s="2" t="s">
        <v>1427</v>
      </c>
      <c r="C1415" s="2" t="s">
        <v>1427</v>
      </c>
      <c r="D1415" s="3">
        <v>158340</v>
      </c>
      <c r="E1415" s="3">
        <v>3879</v>
      </c>
      <c r="F1415" s="3">
        <v>3879</v>
      </c>
      <c r="G1415" s="3" t="s">
        <v>1421</v>
      </c>
      <c r="H1415" s="3" t="str">
        <f ca="1">IFERROR(__xludf.DUMMYFUNCTION("GOOGLETRANSLATE(B1415,""auto"",""en"")"),"Pregnant women hat / maternal hat")</f>
        <v>Pregnant women hat / maternal hat</v>
      </c>
      <c r="I1415" s="3" t="str">
        <f ca="1">IFERROR(__xludf.DUMMYFUNCTION("GOOGLETRANSLATE(C1415,""auto"",""en"")"),"Pregnant women hat / maternal hat")</f>
        <v>Pregnant women hat / maternal hat</v>
      </c>
    </row>
    <row r="1416" spans="1:9" ht="13" x14ac:dyDescent="0.15">
      <c r="A1416" s="2" t="s">
        <v>1420</v>
      </c>
      <c r="B1416" s="2" t="s">
        <v>1428</v>
      </c>
      <c r="C1416" s="2" t="s">
        <v>1428</v>
      </c>
      <c r="D1416" s="3">
        <v>158340</v>
      </c>
      <c r="E1416" s="3">
        <v>3305</v>
      </c>
      <c r="F1416" s="3">
        <v>3305</v>
      </c>
      <c r="G1416" s="3" t="s">
        <v>1421</v>
      </c>
      <c r="H1416" s="3" t="str">
        <f ca="1">IFERROR(__xludf.DUMMYFUNCTION("GOOGLETRANSLATE(B1416,""auto"",""en"")"),"Pregnant women footwear")</f>
        <v>Pregnant women footwear</v>
      </c>
      <c r="I1416" s="3" t="str">
        <f ca="1">IFERROR(__xludf.DUMMYFUNCTION("GOOGLETRANSLATE(C1416,""auto"",""en"")"),"Pregnant women footwear")</f>
        <v>Pregnant women footwear</v>
      </c>
    </row>
    <row r="1417" spans="1:9" ht="13" x14ac:dyDescent="0.15">
      <c r="A1417" s="2" t="s">
        <v>1420</v>
      </c>
      <c r="B1417" s="2" t="s">
        <v>643</v>
      </c>
      <c r="C1417" s="2" t="s">
        <v>643</v>
      </c>
      <c r="D1417" s="3">
        <v>158340</v>
      </c>
      <c r="E1417" s="3">
        <v>1065</v>
      </c>
      <c r="F1417" s="3">
        <v>1065</v>
      </c>
      <c r="G1417" s="3" t="s">
        <v>1421</v>
      </c>
      <c r="H1417" s="3" t="str">
        <f ca="1">IFERROR(__xludf.DUMMYFUNCTION("GOOGLETRANSLATE(B1417,""auto"",""en"")"),"coat")</f>
        <v>coat</v>
      </c>
      <c r="I1417" s="3" t="str">
        <f ca="1">IFERROR(__xludf.DUMMYFUNCTION("GOOGLETRANSLATE(C1417,""auto"",""en"")"),"coat")</f>
        <v>coat</v>
      </c>
    </row>
    <row r="1418" spans="1:9" ht="13" x14ac:dyDescent="0.15">
      <c r="A1418" s="2" t="s">
        <v>1420</v>
      </c>
      <c r="B1418" s="2" t="s">
        <v>1429</v>
      </c>
      <c r="C1418" s="2" t="s">
        <v>1429</v>
      </c>
      <c r="D1418" s="3">
        <v>158340</v>
      </c>
      <c r="E1418" s="3">
        <v>924</v>
      </c>
      <c r="F1418" s="3">
        <v>924</v>
      </c>
      <c r="G1418" s="3" t="s">
        <v>1421</v>
      </c>
      <c r="H1418" s="3" t="str">
        <f ca="1">IFERROR(__xludf.DUMMYFUNCTION("GOOGLETRANSLATE(B1418,""auto"",""en"")"),"Radiation suit")</f>
        <v>Radiation suit</v>
      </c>
      <c r="I1418" s="3" t="str">
        <f ca="1">IFERROR(__xludf.DUMMYFUNCTION("GOOGLETRANSLATE(C1418,""auto"",""en"")"),"Radiation suit")</f>
        <v>Radiation suit</v>
      </c>
    </row>
    <row r="1419" spans="1:9" ht="13" x14ac:dyDescent="0.15">
      <c r="A1419" s="2" t="s">
        <v>1420</v>
      </c>
      <c r="B1419" s="2" t="s">
        <v>1430</v>
      </c>
      <c r="C1419" s="2" t="s">
        <v>1430</v>
      </c>
      <c r="D1419" s="3">
        <v>158340</v>
      </c>
      <c r="E1419" s="3">
        <v>638</v>
      </c>
      <c r="F1419" s="3">
        <v>638</v>
      </c>
      <c r="G1419" s="3" t="s">
        <v>1421</v>
      </c>
      <c r="H1419" s="3" t="str">
        <f ca="1">IFERROR(__xludf.DUMMYFUNCTION("GOOGLETRANSLATE(B1419,""auto"",""en"")"),"Pregnant women underwear sets")</f>
        <v>Pregnant women underwear sets</v>
      </c>
      <c r="I1419" s="3" t="str">
        <f ca="1">IFERROR(__xludf.DUMMYFUNCTION("GOOGLETRANSLATE(C1419,""auto"",""en"")"),"Pregnant women underwear sets")</f>
        <v>Pregnant women underwear sets</v>
      </c>
    </row>
    <row r="1420" spans="1:9" ht="13" x14ac:dyDescent="0.15">
      <c r="A1420" s="2" t="s">
        <v>1420</v>
      </c>
      <c r="B1420" s="2" t="s">
        <v>624</v>
      </c>
      <c r="C1420" s="2" t="s">
        <v>624</v>
      </c>
      <c r="D1420" s="3">
        <v>158340</v>
      </c>
      <c r="E1420" s="3">
        <v>589</v>
      </c>
      <c r="F1420" s="3">
        <v>589</v>
      </c>
      <c r="G1420" s="3" t="s">
        <v>1421</v>
      </c>
      <c r="H1420" s="3" t="str">
        <f ca="1">IFERROR(__xludf.DUMMYFUNCTION("GOOGLETRANSLATE(B1420,""auto"",""en"")"),"Other accessories")</f>
        <v>Other accessories</v>
      </c>
      <c r="I1420" s="3" t="str">
        <f ca="1">IFERROR(__xludf.DUMMYFUNCTION("GOOGLETRANSLATE(C1420,""auto"",""en"")"),"Other accessories")</f>
        <v>Other accessories</v>
      </c>
    </row>
    <row r="1421" spans="1:9" ht="13" x14ac:dyDescent="0.15">
      <c r="A1421" s="2" t="s">
        <v>1420</v>
      </c>
      <c r="B1421" s="2" t="s">
        <v>1431</v>
      </c>
      <c r="C1421" s="2" t="s">
        <v>1431</v>
      </c>
      <c r="D1421" s="3">
        <v>158340</v>
      </c>
      <c r="E1421" s="3">
        <v>439</v>
      </c>
      <c r="F1421" s="3">
        <v>439</v>
      </c>
      <c r="G1421" s="3" t="s">
        <v>1421</v>
      </c>
      <c r="H1421" s="3" t="str">
        <f ca="1">IFERROR(__xludf.DUMMYFUNCTION("GOOGLETRANSLATE(B1421,""auto"",""en"")"),"Bib")</f>
        <v>Bib</v>
      </c>
      <c r="I1421" s="3" t="str">
        <f ca="1">IFERROR(__xludf.DUMMYFUNCTION("GOOGLETRANSLATE(C1421,""auto"",""en"")"),"Bib")</f>
        <v>Bib</v>
      </c>
    </row>
    <row r="1422" spans="1:9" ht="13" x14ac:dyDescent="0.15">
      <c r="A1422" s="2" t="s">
        <v>1420</v>
      </c>
      <c r="B1422" s="2" t="s">
        <v>609</v>
      </c>
      <c r="C1422" s="2" t="s">
        <v>609</v>
      </c>
      <c r="D1422" s="3">
        <v>158340</v>
      </c>
      <c r="E1422" s="3">
        <v>180</v>
      </c>
      <c r="F1422" s="3">
        <v>180</v>
      </c>
      <c r="G1422" s="3" t="s">
        <v>1421</v>
      </c>
      <c r="H1422" s="3" t="str">
        <f ca="1">IFERROR(__xludf.DUMMYFUNCTION("GOOGLETRANSLATE(B1422,""auto"",""en"")"),"shirt")</f>
        <v>shirt</v>
      </c>
      <c r="I1422" s="3" t="str">
        <f ca="1">IFERROR(__xludf.DUMMYFUNCTION("GOOGLETRANSLATE(C1422,""auto"",""en"")"),"shirt")</f>
        <v>shirt</v>
      </c>
    </row>
    <row r="1423" spans="1:9" ht="13" x14ac:dyDescent="0.15">
      <c r="A1423" s="2" t="s">
        <v>1420</v>
      </c>
      <c r="B1423" s="2" t="s">
        <v>640</v>
      </c>
      <c r="C1423" s="2" t="s">
        <v>640</v>
      </c>
      <c r="D1423" s="3">
        <v>158340</v>
      </c>
      <c r="E1423" s="3">
        <v>148</v>
      </c>
      <c r="F1423" s="3">
        <v>148</v>
      </c>
      <c r="G1423" s="3" t="s">
        <v>1421</v>
      </c>
      <c r="H1423" s="3" t="str">
        <f ca="1">IFERROR(__xludf.DUMMYFUNCTION("GOOGLETRANSLATE(B1423,""auto"",""en"")"),"Vest / vest")</f>
        <v>Vest / vest</v>
      </c>
      <c r="I1423" s="3" t="str">
        <f ca="1">IFERROR(__xludf.DUMMYFUNCTION("GOOGLETRANSLATE(C1423,""auto"",""en"")"),"Vest / vest")</f>
        <v>Vest / vest</v>
      </c>
    </row>
    <row r="1424" spans="1:9" ht="13" x14ac:dyDescent="0.15">
      <c r="A1424" s="2" t="s">
        <v>1420</v>
      </c>
      <c r="B1424" s="2" t="s">
        <v>1432</v>
      </c>
      <c r="C1424" s="2" t="s">
        <v>1432</v>
      </c>
      <c r="D1424" s="3">
        <v>158340</v>
      </c>
      <c r="E1424" s="3">
        <v>114</v>
      </c>
      <c r="F1424" s="3">
        <v>114</v>
      </c>
      <c r="G1424" s="3" t="s">
        <v>1421</v>
      </c>
      <c r="H1424" s="3" t="str">
        <f ca="1">IFERROR(__xludf.DUMMYFUNCTION("GOOGLETRANSLATE(B1424,""auto"",""en"")"),"Chiffon shirt")</f>
        <v>Chiffon shirt</v>
      </c>
      <c r="I1424" s="3" t="str">
        <f ca="1">IFERROR(__xludf.DUMMYFUNCTION("GOOGLETRANSLATE(C1424,""auto"",""en"")"),"Chiffon shirt")</f>
        <v>Chiffon shirt</v>
      </c>
    </row>
    <row r="1425" spans="1:9" ht="13" x14ac:dyDescent="0.15">
      <c r="A1425" s="2" t="s">
        <v>1420</v>
      </c>
      <c r="B1425" s="2" t="s">
        <v>863</v>
      </c>
      <c r="C1425" s="2" t="s">
        <v>863</v>
      </c>
      <c r="D1425" s="3">
        <v>158340</v>
      </c>
      <c r="E1425" s="3">
        <v>25</v>
      </c>
      <c r="F1425" s="3">
        <v>25</v>
      </c>
      <c r="G1425" s="3" t="s">
        <v>1421</v>
      </c>
      <c r="H1425" s="3" t="str">
        <f ca="1">IFERROR(__xludf.DUMMYFUNCTION("GOOGLETRANSLATE(B1425,""auto"",""en"")"),"Sweater")</f>
        <v>Sweater</v>
      </c>
      <c r="I1425" s="3" t="str">
        <f ca="1">IFERROR(__xludf.DUMMYFUNCTION("GOOGLETRANSLATE(C1425,""auto"",""en"")"),"Sweater")</f>
        <v>Sweater</v>
      </c>
    </row>
    <row r="1426" spans="1:9" ht="13" x14ac:dyDescent="0.15">
      <c r="A1426" s="2" t="s">
        <v>1420</v>
      </c>
      <c r="B1426" s="2" t="s">
        <v>618</v>
      </c>
      <c r="C1426" s="2" t="s">
        <v>618</v>
      </c>
      <c r="D1426" s="3">
        <v>158340</v>
      </c>
      <c r="E1426" s="3">
        <v>21</v>
      </c>
      <c r="F1426" s="3">
        <v>21</v>
      </c>
      <c r="G1426" s="3" t="s">
        <v>1421</v>
      </c>
      <c r="H1426" s="3" t="str">
        <f ca="1">IFERROR(__xludf.DUMMYFUNCTION("GOOGLETRANSLATE(B1426,""auto"",""en"")"),"Sweater / Fleece")</f>
        <v>Sweater / Fleece</v>
      </c>
      <c r="I1426" s="3" t="str">
        <f ca="1">IFERROR(__xludf.DUMMYFUNCTION("GOOGLETRANSLATE(C1426,""auto"",""en"")"),"Sweater / Fleece")</f>
        <v>Sweater / Fleece</v>
      </c>
    </row>
    <row r="1427" spans="1:9" ht="13" x14ac:dyDescent="0.15">
      <c r="A1427" s="2" t="s">
        <v>1420</v>
      </c>
      <c r="B1427" s="2" t="s">
        <v>857</v>
      </c>
      <c r="C1427" s="2" t="s">
        <v>857</v>
      </c>
      <c r="D1427" s="3">
        <v>158340</v>
      </c>
      <c r="E1427" s="3">
        <v>2</v>
      </c>
      <c r="F1427" s="3">
        <v>2</v>
      </c>
      <c r="G1427" s="3" t="s">
        <v>1421</v>
      </c>
      <c r="H1427" s="3" t="str">
        <f ca="1">IFERROR(__xludf.DUMMYFUNCTION("GOOGLETRANSLATE(B1427,""auto"",""en"")"),"sweater")</f>
        <v>sweater</v>
      </c>
      <c r="I1427" s="3" t="str">
        <f ca="1">IFERROR(__xludf.DUMMYFUNCTION("GOOGLETRANSLATE(C1427,""auto"",""en"")"),"sweater")</f>
        <v>sweater</v>
      </c>
    </row>
    <row r="1428" spans="1:9" ht="13" x14ac:dyDescent="0.15">
      <c r="A1428" s="2" t="s">
        <v>1420</v>
      </c>
      <c r="B1428" s="2" t="s">
        <v>859</v>
      </c>
      <c r="C1428" s="2" t="s">
        <v>859</v>
      </c>
      <c r="D1428" s="3">
        <v>158340</v>
      </c>
      <c r="E1428" s="3">
        <v>1</v>
      </c>
      <c r="F1428" s="3">
        <v>1</v>
      </c>
      <c r="G1428" s="3" t="s">
        <v>1421</v>
      </c>
      <c r="H1428" s="3" t="str">
        <f ca="1">IFERROR(__xludf.DUMMYFUNCTION("GOOGLETRANSLATE(B1428,""auto"",""en"")"),"Windbreaker")</f>
        <v>Windbreaker</v>
      </c>
      <c r="I1428" s="3" t="str">
        <f ca="1">IFERROR(__xludf.DUMMYFUNCTION("GOOGLETRANSLATE(C1428,""auto"",""en"")"),"Windbreaker")</f>
        <v>Windbreaker</v>
      </c>
    </row>
    <row r="1429" spans="1:9" ht="13" x14ac:dyDescent="0.15">
      <c r="A1429" s="2" t="s">
        <v>1420</v>
      </c>
      <c r="B1429" s="2" t="s">
        <v>864</v>
      </c>
      <c r="C1429" s="2" t="s">
        <v>864</v>
      </c>
      <c r="D1429" s="3">
        <v>158340</v>
      </c>
      <c r="E1429" s="3">
        <v>1</v>
      </c>
      <c r="F1429" s="3">
        <v>1</v>
      </c>
      <c r="G1429" s="3" t="s">
        <v>1421</v>
      </c>
      <c r="H1429" s="3" t="str">
        <f ca="1">IFERROR(__xludf.DUMMYFUNCTION("GOOGLETRANSLATE(B1429,""auto"",""en"")"),"Cotton / cotton")</f>
        <v>Cotton / cotton</v>
      </c>
      <c r="I1429" s="3" t="str">
        <f ca="1">IFERROR(__xludf.DUMMYFUNCTION("GOOGLETRANSLATE(C1429,""auto"",""en"")"),"Cotton / cotton")</f>
        <v>Cotton / cotton</v>
      </c>
    </row>
    <row r="1430" spans="1:9" ht="13" x14ac:dyDescent="0.15">
      <c r="A1430" s="2" t="s">
        <v>1433</v>
      </c>
      <c r="B1430" s="2" t="s">
        <v>1434</v>
      </c>
      <c r="C1430" s="2" t="s">
        <v>1435</v>
      </c>
      <c r="D1430" s="3">
        <v>152137</v>
      </c>
      <c r="E1430" s="3">
        <v>104577</v>
      </c>
      <c r="F1430" s="3">
        <v>84259</v>
      </c>
      <c r="G1430" s="3" t="s">
        <v>1436</v>
      </c>
      <c r="H1430" s="3" t="str">
        <f ca="1">IFERROR(__xludf.DUMMYFUNCTION("GOOGLETRANSLATE(B1430,""auto"",""en"")"),"Fashion jewelry / fashion jewelry")</f>
        <v>Fashion jewelry / fashion jewelry</v>
      </c>
      <c r="I1430" s="3" t="str">
        <f ca="1">IFERROR(__xludf.DUMMYFUNCTION("GOOGLETRANSLATE(C1430,""auto"",""en"")"),"Earrings / hair accessories")</f>
        <v>Earrings / hair accessories</v>
      </c>
    </row>
    <row r="1431" spans="1:9" ht="13" x14ac:dyDescent="0.15">
      <c r="A1431" s="2" t="s">
        <v>1433</v>
      </c>
      <c r="B1431" s="2" t="s">
        <v>1434</v>
      </c>
      <c r="C1431" s="2" t="s">
        <v>1437</v>
      </c>
      <c r="D1431" s="3">
        <v>152137</v>
      </c>
      <c r="E1431" s="3">
        <v>104577</v>
      </c>
      <c r="F1431" s="3">
        <v>10616</v>
      </c>
      <c r="G1431" s="3" t="s">
        <v>1436</v>
      </c>
      <c r="H1431" s="3" t="str">
        <f ca="1">IFERROR(__xludf.DUMMYFUNCTION("GOOGLETRANSLATE(B1431,""auto"",""en"")"),"Fashion jewelry / fashion jewelry")</f>
        <v>Fashion jewelry / fashion jewelry</v>
      </c>
      <c r="I1431" s="3" t="str">
        <f ca="1">IFERROR(__xludf.DUMMYFUNCTION("GOOGLETRANSLATE(C1431,""auto"",""en"")"),"Bracelet / bracelet / rings / anklet")</f>
        <v>Bracelet / bracelet / rings / anklet</v>
      </c>
    </row>
    <row r="1432" spans="1:9" ht="13" x14ac:dyDescent="0.15">
      <c r="A1432" s="2" t="s">
        <v>1433</v>
      </c>
      <c r="B1432" s="2" t="s">
        <v>1434</v>
      </c>
      <c r="C1432" s="2" t="s">
        <v>1438</v>
      </c>
      <c r="D1432" s="3">
        <v>152137</v>
      </c>
      <c r="E1432" s="3">
        <v>104577</v>
      </c>
      <c r="F1432" s="3">
        <v>9118</v>
      </c>
      <c r="G1432" s="3" t="s">
        <v>1436</v>
      </c>
      <c r="H1432" s="3" t="str">
        <f ca="1">IFERROR(__xludf.DUMMYFUNCTION("GOOGLETRANSLATE(B1432,""auto"",""en"")"),"Fashion jewelry / fashion jewelry")</f>
        <v>Fashion jewelry / fashion jewelry</v>
      </c>
      <c r="I1432" s="3" t="str">
        <f ca="1">IFERROR(__xludf.DUMMYFUNCTION("GOOGLETRANSLATE(C1432,""auto"",""en"")"),"Other jewelry")</f>
        <v>Other jewelry</v>
      </c>
    </row>
    <row r="1433" spans="1:9" ht="13" x14ac:dyDescent="0.15">
      <c r="A1433" s="2" t="s">
        <v>1433</v>
      </c>
      <c r="B1433" s="2" t="s">
        <v>1434</v>
      </c>
      <c r="C1433" s="2" t="s">
        <v>1439</v>
      </c>
      <c r="D1433" s="3">
        <v>152137</v>
      </c>
      <c r="E1433" s="3">
        <v>104577</v>
      </c>
      <c r="F1433" s="3">
        <v>482</v>
      </c>
      <c r="G1433" s="3" t="s">
        <v>1436</v>
      </c>
      <c r="H1433" s="3" t="str">
        <f ca="1">IFERROR(__xludf.DUMMYFUNCTION("GOOGLETRANSLATE(B1433,""auto"",""en"")"),"Fashion jewelry / fashion jewelry")</f>
        <v>Fashion jewelry / fashion jewelry</v>
      </c>
      <c r="I1433" s="3" t="str">
        <f ca="1">IFERROR(__xludf.DUMMYFUNCTION("GOOGLETRANSLATE(C1433,""auto"",""en"")"),"wig")</f>
        <v>wig</v>
      </c>
    </row>
    <row r="1434" spans="1:9" ht="13" x14ac:dyDescent="0.15">
      <c r="A1434" s="2" t="s">
        <v>1433</v>
      </c>
      <c r="B1434" s="2" t="s">
        <v>1434</v>
      </c>
      <c r="C1434" s="2" t="s">
        <v>1440</v>
      </c>
      <c r="D1434" s="3">
        <v>152137</v>
      </c>
      <c r="E1434" s="3">
        <v>104577</v>
      </c>
      <c r="F1434" s="3">
        <v>78</v>
      </c>
      <c r="G1434" s="3" t="s">
        <v>1436</v>
      </c>
      <c r="H1434" s="3" t="str">
        <f ca="1">IFERROR(__xludf.DUMMYFUNCTION("GOOGLETRANSLATE(B1434,""auto"",""en"")"),"Fashion jewelry / fashion jewelry")</f>
        <v>Fashion jewelry / fashion jewelry</v>
      </c>
      <c r="I1434" s="3" t="str">
        <f ca="1">IFERROR(__xludf.DUMMYFUNCTION("GOOGLETRANSLATE(C1434,""auto"",""en"")"),"Prayer beads / beaded")</f>
        <v>Prayer beads / beaded</v>
      </c>
    </row>
    <row r="1435" spans="1:9" ht="13" x14ac:dyDescent="0.15">
      <c r="A1435" s="2" t="s">
        <v>1433</v>
      </c>
      <c r="B1435" s="2" t="s">
        <v>1434</v>
      </c>
      <c r="C1435" s="2" t="s">
        <v>1441</v>
      </c>
      <c r="D1435" s="3">
        <v>152137</v>
      </c>
      <c r="E1435" s="3">
        <v>104577</v>
      </c>
      <c r="F1435" s="3">
        <v>25</v>
      </c>
      <c r="G1435" s="3" t="s">
        <v>1436</v>
      </c>
      <c r="H1435" s="3" t="str">
        <f ca="1">IFERROR(__xludf.DUMMYFUNCTION("GOOGLETRANSLATE(B1435,""auto"",""en"")"),"Fashion jewelry / fashion jewelry")</f>
        <v>Fashion jewelry / fashion jewelry</v>
      </c>
      <c r="I1435" s="3" t="str">
        <f ca="1">IFERROR(__xludf.DUMMYFUNCTION("GOOGLETRANSLATE(C1435,""auto"",""en"")"),"Jewelry storage")</f>
        <v>Jewelry storage</v>
      </c>
    </row>
    <row r="1436" spans="1:9" ht="13" x14ac:dyDescent="0.15">
      <c r="A1436" s="2" t="s">
        <v>1433</v>
      </c>
      <c r="B1436" s="2" t="s">
        <v>1442</v>
      </c>
      <c r="C1436" s="2" t="s">
        <v>1443</v>
      </c>
      <c r="D1436" s="3">
        <v>152137</v>
      </c>
      <c r="E1436" s="3">
        <v>38147</v>
      </c>
      <c r="F1436" s="3">
        <v>23498</v>
      </c>
      <c r="G1436" s="3" t="s">
        <v>1436</v>
      </c>
      <c r="H1436" s="3" t="str">
        <f ca="1">IFERROR(__xludf.DUMMYFUNCTION("GOOGLETRANSLATE(B1436,""auto"",""en"")"),"Clothing &amp; Accessories")</f>
        <v>Clothing &amp; Accessories</v>
      </c>
      <c r="I1436" s="3" t="str">
        <f ca="1">IFERROR(__xludf.DUMMYFUNCTION("GOOGLETRANSLATE(C1436,""auto"",""en"")"),"gloves")</f>
        <v>gloves</v>
      </c>
    </row>
    <row r="1437" spans="1:9" ht="13" x14ac:dyDescent="0.15">
      <c r="A1437" s="2" t="s">
        <v>1433</v>
      </c>
      <c r="B1437" s="2" t="s">
        <v>1442</v>
      </c>
      <c r="C1437" s="2" t="s">
        <v>1444</v>
      </c>
      <c r="D1437" s="3">
        <v>152137</v>
      </c>
      <c r="E1437" s="3">
        <v>38147</v>
      </c>
      <c r="F1437" s="3">
        <v>8745</v>
      </c>
      <c r="G1437" s="3" t="s">
        <v>1436</v>
      </c>
      <c r="H1437" s="3" t="str">
        <f ca="1">IFERROR(__xludf.DUMMYFUNCTION("GOOGLETRANSLATE(B1437,""auto"",""en"")"),"Clothing &amp; Accessories")</f>
        <v>Clothing &amp; Accessories</v>
      </c>
      <c r="I1437" s="3" t="str">
        <f ca="1">IFERROR(__xludf.DUMMYFUNCTION("GOOGLETRANSLATE(C1437,""auto"",""en"")"),"hat")</f>
        <v>hat</v>
      </c>
    </row>
    <row r="1438" spans="1:9" ht="13" x14ac:dyDescent="0.15">
      <c r="A1438" s="2" t="s">
        <v>1433</v>
      </c>
      <c r="B1438" s="2" t="s">
        <v>1442</v>
      </c>
      <c r="C1438" s="2" t="s">
        <v>1445</v>
      </c>
      <c r="D1438" s="3">
        <v>152137</v>
      </c>
      <c r="E1438" s="3">
        <v>38147</v>
      </c>
      <c r="F1438" s="3">
        <v>3121</v>
      </c>
      <c r="G1438" s="3" t="s">
        <v>1436</v>
      </c>
      <c r="H1438" s="3" t="str">
        <f ca="1">IFERROR(__xludf.DUMMYFUNCTION("GOOGLETRANSLATE(B1438,""auto"",""en"")"),"Clothing &amp; Accessories")</f>
        <v>Clothing &amp; Accessories</v>
      </c>
      <c r="I1438" s="3" t="str">
        <f ca="1">IFERROR(__xludf.DUMMYFUNCTION("GOOGLETRANSLATE(C1438,""auto"",""en"")"),"Scarves / scarf / shawl")</f>
        <v>Scarves / scarf / shawl</v>
      </c>
    </row>
    <row r="1439" spans="1:9" ht="13" x14ac:dyDescent="0.15">
      <c r="A1439" s="2" t="s">
        <v>1433</v>
      </c>
      <c r="B1439" s="2" t="s">
        <v>1442</v>
      </c>
      <c r="C1439" s="2" t="s">
        <v>1446</v>
      </c>
      <c r="D1439" s="3">
        <v>152137</v>
      </c>
      <c r="E1439" s="3">
        <v>38147</v>
      </c>
      <c r="F1439" s="3">
        <v>1448</v>
      </c>
      <c r="G1439" s="3" t="s">
        <v>1436</v>
      </c>
      <c r="H1439" s="3" t="str">
        <f ca="1">IFERROR(__xludf.DUMMYFUNCTION("GOOGLETRANSLATE(B1439,""auto"",""en"")"),"Clothing &amp; Accessories")</f>
        <v>Clothing &amp; Accessories</v>
      </c>
      <c r="I1439" s="3" t="str">
        <f ca="1">IFERROR(__xludf.DUMMYFUNCTION("GOOGLETRANSLATE(C1439,""auto"",""en"")"),"Women's Belts")</f>
        <v>Women's Belts</v>
      </c>
    </row>
    <row r="1440" spans="1:9" ht="13" x14ac:dyDescent="0.15">
      <c r="A1440" s="2" t="s">
        <v>1433</v>
      </c>
      <c r="B1440" s="2" t="s">
        <v>1442</v>
      </c>
      <c r="C1440" s="2" t="s">
        <v>1447</v>
      </c>
      <c r="D1440" s="3">
        <v>152137</v>
      </c>
      <c r="E1440" s="3">
        <v>38147</v>
      </c>
      <c r="F1440" s="3">
        <v>1335</v>
      </c>
      <c r="G1440" s="3" t="s">
        <v>1436</v>
      </c>
      <c r="H1440" s="3" t="str">
        <f ca="1">IFERROR(__xludf.DUMMYFUNCTION("GOOGLETRANSLATE(B1440,""auto"",""en"")"),"Clothing &amp; Accessories")</f>
        <v>Clothing &amp; Accessories</v>
      </c>
      <c r="I1440" s="3" t="str">
        <f ca="1">IFERROR(__xludf.DUMMYFUNCTION("GOOGLETRANSLATE(C1440,""auto"",""en"")"),"Men's Belts")</f>
        <v>Men's Belts</v>
      </c>
    </row>
    <row r="1441" spans="1:9" ht="13" x14ac:dyDescent="0.15">
      <c r="A1441" s="2" t="s">
        <v>1433</v>
      </c>
      <c r="B1441" s="2" t="s">
        <v>1448</v>
      </c>
      <c r="C1441" s="2" t="s">
        <v>1449</v>
      </c>
      <c r="D1441" s="3">
        <v>152137</v>
      </c>
      <c r="E1441" s="3">
        <v>7575</v>
      </c>
      <c r="F1441" s="3">
        <v>7181</v>
      </c>
      <c r="G1441" s="3" t="s">
        <v>1436</v>
      </c>
      <c r="H1441" s="3" t="str">
        <f ca="1">IFERROR(__xludf.DUMMYFUNCTION("GOOGLETRANSLATE(B1441,""auto"",""en"")"),"glasses")</f>
        <v>glasses</v>
      </c>
      <c r="I1441" s="3" t="str">
        <f ca="1">IFERROR(__xludf.DUMMYFUNCTION("GOOGLETRANSLATE(C1441,""auto"",""en"")"),"Sunglasses")</f>
        <v>Sunglasses</v>
      </c>
    </row>
    <row r="1442" spans="1:9" ht="13" x14ac:dyDescent="0.15">
      <c r="A1442" s="2" t="s">
        <v>1433</v>
      </c>
      <c r="B1442" s="2" t="s">
        <v>1448</v>
      </c>
      <c r="C1442" s="2" t="s">
        <v>1450</v>
      </c>
      <c r="D1442" s="3">
        <v>152137</v>
      </c>
      <c r="E1442" s="3">
        <v>7575</v>
      </c>
      <c r="F1442" s="3">
        <v>325</v>
      </c>
      <c r="G1442" s="3" t="s">
        <v>1436</v>
      </c>
      <c r="H1442" s="3" t="str">
        <f ca="1">IFERROR(__xludf.DUMMYFUNCTION("GOOGLETRANSLATE(B1442,""auto"",""en"")"),"glasses")</f>
        <v>glasses</v>
      </c>
      <c r="I1442" s="3" t="str">
        <f ca="1">IFERROR(__xludf.DUMMYFUNCTION("GOOGLETRANSLATE(C1442,""auto"",""en"")"),"Function glasses")</f>
        <v>Function glasses</v>
      </c>
    </row>
    <row r="1443" spans="1:9" ht="13" x14ac:dyDescent="0.15">
      <c r="A1443" s="2" t="s">
        <v>1433</v>
      </c>
      <c r="B1443" s="2" t="s">
        <v>1448</v>
      </c>
      <c r="C1443" s="2" t="s">
        <v>1451</v>
      </c>
      <c r="D1443" s="3">
        <v>152137</v>
      </c>
      <c r="E1443" s="3">
        <v>7575</v>
      </c>
      <c r="F1443" s="3">
        <v>69</v>
      </c>
      <c r="G1443" s="3" t="s">
        <v>1436</v>
      </c>
      <c r="H1443" s="3" t="str">
        <f ca="1">IFERROR(__xludf.DUMMYFUNCTION("GOOGLETRANSLATE(B1443,""auto"",""en"")"),"glasses")</f>
        <v>glasses</v>
      </c>
      <c r="I1443" s="3" t="str">
        <f ca="1">IFERROR(__xludf.DUMMYFUNCTION("GOOGLETRANSLATE(C1443,""auto"",""en"")"),"Glasses accessories / care agent")</f>
        <v>Glasses accessories / care agent</v>
      </c>
    </row>
    <row r="1444" spans="1:9" ht="13" x14ac:dyDescent="0.15">
      <c r="A1444" s="2" t="s">
        <v>1433</v>
      </c>
      <c r="B1444" s="2" t="s">
        <v>1452</v>
      </c>
      <c r="C1444" s="2" t="s">
        <v>1453</v>
      </c>
      <c r="D1444" s="3">
        <v>152137</v>
      </c>
      <c r="E1444" s="3">
        <v>1641</v>
      </c>
      <c r="F1444" s="3">
        <v>1633</v>
      </c>
      <c r="G1444" s="3" t="s">
        <v>1436</v>
      </c>
      <c r="H1444" s="3" t="str">
        <f ca="1">IFERROR(__xludf.DUMMYFUNCTION("GOOGLETRANSLATE(B1444,""auto"",""en"")"),"Watch")</f>
        <v>Watch</v>
      </c>
      <c r="I1444" s="3" t="str">
        <f ca="1">IFERROR(__xludf.DUMMYFUNCTION("GOOGLETRANSLATE(C1444,""auto"",""en"")"),"Watch")</f>
        <v>Watch</v>
      </c>
    </row>
    <row r="1445" spans="1:9" ht="13" x14ac:dyDescent="0.15">
      <c r="A1445" s="2" t="s">
        <v>1433</v>
      </c>
      <c r="B1445" s="2" t="s">
        <v>1452</v>
      </c>
      <c r="C1445" s="2" t="s">
        <v>1454</v>
      </c>
      <c r="D1445" s="3">
        <v>152137</v>
      </c>
      <c r="E1445" s="3">
        <v>1641</v>
      </c>
      <c r="F1445" s="3">
        <v>8</v>
      </c>
      <c r="G1445" s="3" t="s">
        <v>1436</v>
      </c>
      <c r="H1445" s="3" t="str">
        <f ca="1">IFERROR(__xludf.DUMMYFUNCTION("GOOGLETRANSLATE(B1445,""auto"",""en"")"),"Watch")</f>
        <v>Watch</v>
      </c>
      <c r="I1445" s="3" t="str">
        <f ca="1">IFERROR(__xludf.DUMMYFUNCTION("GOOGLETRANSLATE(C1445,""auto"",""en"")"),"Fitting")</f>
        <v>Fitting</v>
      </c>
    </row>
    <row r="1446" spans="1:9" ht="13" x14ac:dyDescent="0.15">
      <c r="A1446" s="2" t="s">
        <v>1433</v>
      </c>
      <c r="B1446" s="2" t="s">
        <v>1455</v>
      </c>
      <c r="C1446" s="2" t="s">
        <v>1456</v>
      </c>
      <c r="D1446" s="3">
        <v>152137</v>
      </c>
      <c r="E1446" s="3">
        <v>197</v>
      </c>
      <c r="F1446" s="3">
        <v>197</v>
      </c>
      <c r="G1446" s="3" t="s">
        <v>1436</v>
      </c>
      <c r="H1446" s="3" t="str">
        <f ca="1">IFERROR(__xludf.DUMMYFUNCTION("GOOGLETRANSLATE(B1446,""auto"",""en"")"),"Gold jewelry")</f>
        <v>Gold jewelry</v>
      </c>
      <c r="I1446" s="3" t="str">
        <f ca="1">IFERROR(__xludf.DUMMYFUNCTION("GOOGLETRANSLATE(C1446,""auto"",""en"")"),"Silver jewelry")</f>
        <v>Silver jewelry</v>
      </c>
    </row>
    <row r="1447" spans="1:9" ht="13" x14ac:dyDescent="0.15">
      <c r="A1447" s="2" t="s">
        <v>1457</v>
      </c>
      <c r="B1447" s="2" t="s">
        <v>1458</v>
      </c>
      <c r="C1447" s="2" t="s">
        <v>1458</v>
      </c>
      <c r="D1447" s="3">
        <v>109063</v>
      </c>
      <c r="E1447" s="3">
        <v>38187</v>
      </c>
      <c r="F1447" s="3">
        <v>38187</v>
      </c>
      <c r="G1447" s="3" t="s">
        <v>1459</v>
      </c>
      <c r="H1447" s="3" t="str">
        <f ca="1">IFERROR(__xludf.DUMMYFUNCTION("GOOGLETRANSLATE(B1447,""auto"",""en"")"),"Breast Pads")</f>
        <v>Breast Pads</v>
      </c>
      <c r="I1447" s="3" t="str">
        <f ca="1">IFERROR(__xludf.DUMMYFUNCTION("GOOGLETRANSLATE(C1447,""auto"",""en"")"),"Breast Pads")</f>
        <v>Breast Pads</v>
      </c>
    </row>
    <row r="1448" spans="1:9" ht="13" x14ac:dyDescent="0.15">
      <c r="A1448" s="2" t="s">
        <v>1457</v>
      </c>
      <c r="B1448" s="2" t="s">
        <v>1460</v>
      </c>
      <c r="C1448" s="2" t="s">
        <v>1460</v>
      </c>
      <c r="D1448" s="3">
        <v>109063</v>
      </c>
      <c r="E1448" s="3">
        <v>21412</v>
      </c>
      <c r="F1448" s="3">
        <v>21412</v>
      </c>
      <c r="G1448" s="3" t="s">
        <v>1459</v>
      </c>
      <c r="H1448" s="3" t="str">
        <f ca="1">IFERROR(__xludf.DUMMYFUNCTION("GOOGLETRANSLATE(B1448,""auto"",""en"")"),"Other pregnant mother supplies")</f>
        <v>Other pregnant mother supplies</v>
      </c>
      <c r="I1448" s="3" t="str">
        <f ca="1">IFERROR(__xludf.DUMMYFUNCTION("GOOGLETRANSLATE(C1448,""auto"",""en"")"),"Other pregnant mother supplies")</f>
        <v>Other pregnant mother supplies</v>
      </c>
    </row>
    <row r="1449" spans="1:9" ht="13" x14ac:dyDescent="0.15">
      <c r="A1449" s="2" t="s">
        <v>1457</v>
      </c>
      <c r="B1449" s="2" t="s">
        <v>1461</v>
      </c>
      <c r="C1449" s="2" t="s">
        <v>1461</v>
      </c>
      <c r="D1449" s="3">
        <v>109063</v>
      </c>
      <c r="E1449" s="3">
        <v>9101</v>
      </c>
      <c r="F1449" s="3">
        <v>9101</v>
      </c>
      <c r="G1449" s="3" t="s">
        <v>1459</v>
      </c>
      <c r="H1449" s="3" t="str">
        <f ca="1">IFERROR(__xludf.DUMMYFUNCTION("GOOGLETRANSLATE(B1449,""auto"",""en"")"),"Corset belt")</f>
        <v>Corset belt</v>
      </c>
      <c r="I1449" s="3" t="str">
        <f ca="1">IFERROR(__xludf.DUMMYFUNCTION("GOOGLETRANSLATE(C1449,""auto"",""en"")"),"Corset belt")</f>
        <v>Corset belt</v>
      </c>
    </row>
    <row r="1450" spans="1:9" ht="13" x14ac:dyDescent="0.15">
      <c r="A1450" s="2" t="s">
        <v>1457</v>
      </c>
      <c r="B1450" s="2" t="s">
        <v>983</v>
      </c>
      <c r="C1450" s="2" t="s">
        <v>983</v>
      </c>
      <c r="D1450" s="3">
        <v>109063</v>
      </c>
      <c r="E1450" s="3">
        <v>8193</v>
      </c>
      <c r="F1450" s="3">
        <v>8193</v>
      </c>
      <c r="G1450" s="3" t="s">
        <v>1459</v>
      </c>
      <c r="H1450" s="3" t="str">
        <f ca="1">IFERROR(__xludf.DUMMYFUNCTION("GOOGLETRANSLATE(B1450,""auto"",""en"")"),"sanitary napkin")</f>
        <v>sanitary napkin</v>
      </c>
      <c r="I1450" s="3" t="str">
        <f ca="1">IFERROR(__xludf.DUMMYFUNCTION("GOOGLETRANSLATE(C1450,""auto"",""en"")"),"sanitary napkin")</f>
        <v>sanitary napkin</v>
      </c>
    </row>
    <row r="1451" spans="1:9" ht="13" x14ac:dyDescent="0.15">
      <c r="A1451" s="2" t="s">
        <v>1457</v>
      </c>
      <c r="B1451" s="2" t="s">
        <v>1462</v>
      </c>
      <c r="C1451" s="2" t="s">
        <v>1462</v>
      </c>
      <c r="D1451" s="3">
        <v>109063</v>
      </c>
      <c r="E1451" s="3">
        <v>7601</v>
      </c>
      <c r="F1451" s="3">
        <v>7601</v>
      </c>
      <c r="G1451" s="3" t="s">
        <v>1459</v>
      </c>
      <c r="H1451" s="3" t="str">
        <f ca="1">IFERROR(__xludf.DUMMYFUNCTION("GOOGLETRANSLATE(B1451,""auto"",""en"")"),"Nursing pads")</f>
        <v>Nursing pads</v>
      </c>
      <c r="I1451" s="3" t="str">
        <f ca="1">IFERROR(__xludf.DUMMYFUNCTION("GOOGLETRANSLATE(C1451,""auto"",""en"")"),"Nursing pads")</f>
        <v>Nursing pads</v>
      </c>
    </row>
    <row r="1452" spans="1:9" ht="13" x14ac:dyDescent="0.15">
      <c r="A1452" s="2" t="s">
        <v>1457</v>
      </c>
      <c r="B1452" s="2" t="s">
        <v>1463</v>
      </c>
      <c r="C1452" s="2" t="s">
        <v>1463</v>
      </c>
      <c r="D1452" s="3">
        <v>109063</v>
      </c>
      <c r="E1452" s="3">
        <v>6211</v>
      </c>
      <c r="F1452" s="3">
        <v>6211</v>
      </c>
      <c r="G1452" s="3" t="s">
        <v>1459</v>
      </c>
      <c r="H1452" s="3" t="str">
        <f ca="1">IFERROR(__xludf.DUMMYFUNCTION("GOOGLETRANSLATE(B1452,""auto"",""en"")"),"Fresh breast milk storage")</f>
        <v>Fresh breast milk storage</v>
      </c>
      <c r="I1452" s="3" t="str">
        <f ca="1">IFERROR(__xludf.DUMMYFUNCTION("GOOGLETRANSLATE(C1452,""auto"",""en"")"),"Fresh breast milk storage")</f>
        <v>Fresh breast milk storage</v>
      </c>
    </row>
    <row r="1453" spans="1:9" ht="13" x14ac:dyDescent="0.15">
      <c r="A1453" s="2" t="s">
        <v>1457</v>
      </c>
      <c r="B1453" s="2" t="s">
        <v>1464</v>
      </c>
      <c r="C1453" s="2" t="s">
        <v>1464</v>
      </c>
      <c r="D1453" s="3">
        <v>109063</v>
      </c>
      <c r="E1453" s="3">
        <v>5759</v>
      </c>
      <c r="F1453" s="3">
        <v>5759</v>
      </c>
      <c r="G1453" s="3" t="s">
        <v>1459</v>
      </c>
      <c r="H1453" s="3" t="str">
        <f ca="1">IFERROR(__xludf.DUMMYFUNCTION("GOOGLETRANSLATE(B1453,""auto"",""en"")"),"Breast pump")</f>
        <v>Breast pump</v>
      </c>
      <c r="I1453" s="3" t="str">
        <f ca="1">IFERROR(__xludf.DUMMYFUNCTION("GOOGLETRANSLATE(C1453,""auto"",""en"")"),"Breast pump")</f>
        <v>Breast pump</v>
      </c>
    </row>
    <row r="1454" spans="1:9" ht="13" x14ac:dyDescent="0.15">
      <c r="A1454" s="2" t="s">
        <v>1457</v>
      </c>
      <c r="B1454" s="2" t="s">
        <v>1465</v>
      </c>
      <c r="C1454" s="2" t="s">
        <v>1465</v>
      </c>
      <c r="D1454" s="3">
        <v>109063</v>
      </c>
      <c r="E1454" s="3">
        <v>4788</v>
      </c>
      <c r="F1454" s="3">
        <v>4788</v>
      </c>
      <c r="G1454" s="3" t="s">
        <v>1459</v>
      </c>
      <c r="H1454" s="3" t="str">
        <f ca="1">IFERROR(__xludf.DUMMYFUNCTION("GOOGLETRANSLATE(B1454,""auto"",""en"")"),"Package to be produced")</f>
        <v>Package to be produced</v>
      </c>
      <c r="I1454" s="3" t="str">
        <f ca="1">IFERROR(__xludf.DUMMYFUNCTION("GOOGLETRANSLATE(C1454,""auto"",""en"")"),"Package to be produced")</f>
        <v>Package to be produced</v>
      </c>
    </row>
    <row r="1455" spans="1:9" ht="13" x14ac:dyDescent="0.15">
      <c r="A1455" s="2" t="s">
        <v>1457</v>
      </c>
      <c r="B1455" s="2" t="s">
        <v>1466</v>
      </c>
      <c r="C1455" s="2" t="s">
        <v>1466</v>
      </c>
      <c r="D1455" s="3">
        <v>109063</v>
      </c>
      <c r="E1455" s="3">
        <v>4394</v>
      </c>
      <c r="F1455" s="3">
        <v>4394</v>
      </c>
      <c r="G1455" s="3" t="s">
        <v>1459</v>
      </c>
      <c r="H1455" s="3" t="str">
        <f ca="1">IFERROR(__xludf.DUMMYFUNCTION("GOOGLETRANSLATE(B1455,""auto"",""en"")"),"Mummy package")</f>
        <v>Mummy package</v>
      </c>
      <c r="I1455" s="3" t="str">
        <f ca="1">IFERROR(__xludf.DUMMYFUNCTION("GOOGLETRANSLATE(C1455,""auto"",""en"")"),"Mummy package")</f>
        <v>Mummy package</v>
      </c>
    </row>
    <row r="1456" spans="1:9" ht="13" x14ac:dyDescent="0.15">
      <c r="A1456" s="2" t="s">
        <v>1457</v>
      </c>
      <c r="B1456" s="2" t="s">
        <v>1467</v>
      </c>
      <c r="C1456" s="2" t="s">
        <v>1467</v>
      </c>
      <c r="D1456" s="3">
        <v>109063</v>
      </c>
      <c r="E1456" s="3">
        <v>2145</v>
      </c>
      <c r="F1456" s="3">
        <v>2145</v>
      </c>
      <c r="G1456" s="3" t="s">
        <v>1459</v>
      </c>
      <c r="H1456" s="3" t="str">
        <f ca="1">IFERROR(__xludf.DUMMYFUNCTION("GOOGLETRANSLATE(B1456,""auto"",""en"")"),"Check-pants")</f>
        <v>Check-pants</v>
      </c>
      <c r="I1456" s="3" t="str">
        <f ca="1">IFERROR(__xludf.DUMMYFUNCTION("GOOGLETRANSLATE(C1456,""auto"",""en"")"),"Check-pants")</f>
        <v>Check-pants</v>
      </c>
    </row>
    <row r="1457" spans="1:9" ht="13" x14ac:dyDescent="0.15">
      <c r="A1457" s="2" t="s">
        <v>1457</v>
      </c>
      <c r="B1457" s="2" t="s">
        <v>1468</v>
      </c>
      <c r="C1457" s="2" t="s">
        <v>1468</v>
      </c>
      <c r="D1457" s="3">
        <v>109063</v>
      </c>
      <c r="E1457" s="3">
        <v>951</v>
      </c>
      <c r="F1457" s="3">
        <v>951</v>
      </c>
      <c r="G1457" s="3" t="s">
        <v>1459</v>
      </c>
      <c r="H1457" s="3" t="str">
        <f ca="1">IFERROR(__xludf.DUMMYFUNCTION("GOOGLETRANSLATE(B1457,""auto"",""en"")"),"Belt Pillow")</f>
        <v>Belt Pillow</v>
      </c>
      <c r="I1457" s="3" t="str">
        <f ca="1">IFERROR(__xludf.DUMMYFUNCTION("GOOGLETRANSLATE(C1457,""auto"",""en"")"),"Belt Pillow")</f>
        <v>Belt Pillow</v>
      </c>
    </row>
    <row r="1458" spans="1:9" ht="13" x14ac:dyDescent="0.15">
      <c r="A1458" s="2" t="s">
        <v>1457</v>
      </c>
      <c r="B1458" s="2" t="s">
        <v>1469</v>
      </c>
      <c r="C1458" s="2" t="s">
        <v>1469</v>
      </c>
      <c r="D1458" s="3">
        <v>109063</v>
      </c>
      <c r="E1458" s="3">
        <v>214</v>
      </c>
      <c r="F1458" s="3">
        <v>214</v>
      </c>
      <c r="G1458" s="3" t="s">
        <v>1459</v>
      </c>
      <c r="H1458" s="3" t="str">
        <f ca="1">IFERROR(__xludf.DUMMYFUNCTION("GOOGLETRANSLATE(B1458,""auto"",""en"")"),"Pelvic correction with")</f>
        <v>Pelvic correction with</v>
      </c>
      <c r="I1458" s="3" t="str">
        <f ca="1">IFERROR(__xludf.DUMMYFUNCTION("GOOGLETRANSLATE(C1458,""auto"",""en"")"),"Pelvic correction with")</f>
        <v>Pelvic correction with</v>
      </c>
    </row>
    <row r="1459" spans="1:9" ht="13" x14ac:dyDescent="0.15">
      <c r="A1459" s="2" t="s">
        <v>1457</v>
      </c>
      <c r="B1459" s="2" t="s">
        <v>1470</v>
      </c>
      <c r="C1459" s="2" t="s">
        <v>1470</v>
      </c>
      <c r="D1459" s="3">
        <v>109063</v>
      </c>
      <c r="E1459" s="3">
        <v>112</v>
      </c>
      <c r="F1459" s="3">
        <v>112</v>
      </c>
      <c r="G1459" s="3" t="s">
        <v>1459</v>
      </c>
      <c r="H1459" s="3" t="str">
        <f ca="1">IFERROR(__xludf.DUMMYFUNCTION("GOOGLETRANSLATE(B1459,""auto"",""en"")"),"Care cummerbund")</f>
        <v>Care cummerbund</v>
      </c>
      <c r="I1459" s="3" t="str">
        <f ca="1">IFERROR(__xludf.DUMMYFUNCTION("GOOGLETRANSLATE(C1459,""auto"",""en"")"),"Care cummerbund")</f>
        <v>Care cummerbund</v>
      </c>
    </row>
    <row r="1460" spans="1:9" ht="13" x14ac:dyDescent="0.15">
      <c r="A1460" s="2" t="s">
        <v>1471</v>
      </c>
      <c r="B1460" s="2" t="s">
        <v>1472</v>
      </c>
      <c r="C1460" s="2" t="s">
        <v>1473</v>
      </c>
      <c r="D1460" s="3">
        <v>98485</v>
      </c>
      <c r="E1460" s="3">
        <v>44372</v>
      </c>
      <c r="F1460" s="3">
        <v>44372</v>
      </c>
      <c r="G1460" s="3" t="s">
        <v>1474</v>
      </c>
      <c r="H1460" s="3" t="str">
        <f ca="1">IFERROR(__xludf.DUMMYFUNCTION("GOOGLETRANSLATE(B1460,""auto"",""en"")"),"Member Benefits")</f>
        <v>Member Benefits</v>
      </c>
      <c r="I1460" s="3" t="str">
        <f ca="1">IFERROR(__xludf.DUMMYFUNCTION("GOOGLETRANSLATE(C1460,""auto"",""en"")"),"membership card")</f>
        <v>membership card</v>
      </c>
    </row>
    <row r="1461" spans="1:9" ht="13" x14ac:dyDescent="0.15">
      <c r="A1461" s="2" t="s">
        <v>1471</v>
      </c>
      <c r="B1461" s="2" t="s">
        <v>1475</v>
      </c>
      <c r="C1461" s="2" t="s">
        <v>1476</v>
      </c>
      <c r="D1461" s="3">
        <v>98485</v>
      </c>
      <c r="E1461" s="3">
        <v>37009</v>
      </c>
      <c r="F1461" s="3">
        <v>36722</v>
      </c>
      <c r="G1461" s="3" t="s">
        <v>1474</v>
      </c>
      <c r="H1461" s="3" t="str">
        <f ca="1">IFERROR(__xludf.DUMMYFUNCTION("GOOGLETRANSLATE(B1461,""auto"",""en"")"),"Phone recharge")</f>
        <v>Phone recharge</v>
      </c>
      <c r="I1461" s="3" t="str">
        <f ca="1">IFERROR(__xludf.DUMMYFUNCTION("GOOGLETRANSLATE(C1461,""auto"",""en"")"),"Prepaid recharge")</f>
        <v>Prepaid recharge</v>
      </c>
    </row>
    <row r="1462" spans="1:9" ht="13" x14ac:dyDescent="0.15">
      <c r="A1462" s="2" t="s">
        <v>1471</v>
      </c>
      <c r="B1462" s="2" t="s">
        <v>1475</v>
      </c>
      <c r="C1462" s="2" t="s">
        <v>1477</v>
      </c>
      <c r="D1462" s="3">
        <v>98485</v>
      </c>
      <c r="E1462" s="3">
        <v>37009</v>
      </c>
      <c r="F1462" s="3">
        <v>287</v>
      </c>
      <c r="G1462" s="3" t="s">
        <v>1474</v>
      </c>
      <c r="H1462" s="3" t="str">
        <f ca="1">IFERROR(__xludf.DUMMYFUNCTION("GOOGLETRANSLATE(B1462,""auto"",""en"")"),"Phone recharge")</f>
        <v>Phone recharge</v>
      </c>
      <c r="I1462" s="3" t="str">
        <f ca="1">IFERROR(__xludf.DUMMYFUNCTION("GOOGLETRANSLATE(C1462,""auto"",""en"")"),"Traffic recharge")</f>
        <v>Traffic recharge</v>
      </c>
    </row>
    <row r="1463" spans="1:9" ht="13" x14ac:dyDescent="0.15">
      <c r="A1463" s="2" t="s">
        <v>1471</v>
      </c>
      <c r="B1463" s="2" t="s">
        <v>1478</v>
      </c>
      <c r="C1463" s="2" t="s">
        <v>1479</v>
      </c>
      <c r="D1463" s="3">
        <v>98485</v>
      </c>
      <c r="E1463" s="3">
        <v>15377</v>
      </c>
      <c r="F1463" s="3">
        <v>15272</v>
      </c>
      <c r="G1463" s="3" t="s">
        <v>1474</v>
      </c>
      <c r="H1463" s="3" t="str">
        <f ca="1">IFERROR(__xludf.DUMMYFUNCTION("GOOGLETRANSLATE(B1463,""auto"",""en"")"),"Parenting treasure")</f>
        <v>Parenting treasure</v>
      </c>
      <c r="I1463" s="3" t="str">
        <f ca="1">IFERROR(__xludf.DUMMYFUNCTION("GOOGLETRANSLATE(C1463,""auto"",""en"")"),"Activities")</f>
        <v>Activities</v>
      </c>
    </row>
    <row r="1464" spans="1:9" ht="13" x14ac:dyDescent="0.15">
      <c r="A1464" s="2" t="s">
        <v>1471</v>
      </c>
      <c r="B1464" s="2" t="s">
        <v>1478</v>
      </c>
      <c r="C1464" s="2" t="s">
        <v>1480</v>
      </c>
      <c r="D1464" s="3">
        <v>98485</v>
      </c>
      <c r="E1464" s="3">
        <v>15377</v>
      </c>
      <c r="F1464" s="3">
        <v>68</v>
      </c>
      <c r="G1464" s="3" t="s">
        <v>1474</v>
      </c>
      <c r="H1464" s="3" t="str">
        <f ca="1">IFERROR(__xludf.DUMMYFUNCTION("GOOGLETRANSLATE(B1464,""auto"",""en"")"),"Parenting treasure")</f>
        <v>Parenting treasure</v>
      </c>
      <c r="I1464" s="3" t="str">
        <f ca="1">IFERROR(__xludf.DUMMYFUNCTION("GOOGLETRANSLATE(C1464,""auto"",""en"")"),"Paid video")</f>
        <v>Paid video</v>
      </c>
    </row>
    <row r="1465" spans="1:9" ht="13" x14ac:dyDescent="0.15">
      <c r="A1465" s="2" t="s">
        <v>1471</v>
      </c>
      <c r="B1465" s="2" t="s">
        <v>1478</v>
      </c>
      <c r="C1465" s="2" t="s">
        <v>1481</v>
      </c>
      <c r="D1465" s="3">
        <v>98485</v>
      </c>
      <c r="E1465" s="3">
        <v>15377</v>
      </c>
      <c r="F1465" s="3">
        <v>37</v>
      </c>
      <c r="G1465" s="3" t="s">
        <v>1474</v>
      </c>
      <c r="H1465" s="3" t="str">
        <f ca="1">IFERROR(__xludf.DUMMYFUNCTION("GOOGLETRANSLATE(B1465,""auto"",""en"")"),"Parenting treasure")</f>
        <v>Parenting treasure</v>
      </c>
      <c r="I1465" s="3" t="str">
        <f ca="1">IFERROR(__xludf.DUMMYFUNCTION("GOOGLETRANSLATE(C1465,""auto"",""en"")"),"Q &amp; Pay")</f>
        <v>Q &amp; Pay</v>
      </c>
    </row>
    <row r="1466" spans="1:9" ht="13" x14ac:dyDescent="0.15">
      <c r="A1466" s="2" t="s">
        <v>1471</v>
      </c>
      <c r="B1466" s="2" t="s">
        <v>1482</v>
      </c>
      <c r="C1466" s="2" t="s">
        <v>1482</v>
      </c>
      <c r="D1466" s="3">
        <v>98485</v>
      </c>
      <c r="E1466" s="3">
        <v>1430</v>
      </c>
      <c r="F1466" s="3">
        <v>1430</v>
      </c>
      <c r="G1466" s="3" t="s">
        <v>1474</v>
      </c>
      <c r="H1466" s="3" t="str">
        <f ca="1">IFERROR(__xludf.DUMMYFUNCTION("GOOGLETRANSLATE(B1466,""auto"",""en"")"),"coupon")</f>
        <v>coupon</v>
      </c>
      <c r="I1466" s="3" t="str">
        <f ca="1">IFERROR(__xludf.DUMMYFUNCTION("GOOGLETRANSLATE(C1466,""auto"",""en"")"),"coupon")</f>
        <v>coupon</v>
      </c>
    </row>
    <row r="1467" spans="1:9" ht="13" x14ac:dyDescent="0.15">
      <c r="A1467" s="2" t="s">
        <v>1471</v>
      </c>
      <c r="B1467" s="2" t="s">
        <v>1483</v>
      </c>
      <c r="C1467" s="2" t="s">
        <v>1483</v>
      </c>
      <c r="D1467" s="3">
        <v>98485</v>
      </c>
      <c r="E1467" s="3">
        <v>174</v>
      </c>
      <c r="F1467" s="3">
        <v>174</v>
      </c>
      <c r="G1467" s="3" t="s">
        <v>1474</v>
      </c>
      <c r="H1467" s="3" t="str">
        <f ca="1">IFERROR(__xludf.DUMMYFUNCTION("GOOGLETRANSLATE(B1467,""auto"",""en"")"),"Courier bags")</f>
        <v>Courier bags</v>
      </c>
      <c r="I1467" s="3" t="str">
        <f ca="1">IFERROR(__xludf.DUMMYFUNCTION("GOOGLETRANSLATE(C1467,""auto"",""en"")"),"Courier bags")</f>
        <v>Courier bags</v>
      </c>
    </row>
    <row r="1468" spans="1:9" ht="13" x14ac:dyDescent="0.15">
      <c r="A1468" s="2" t="s">
        <v>1471</v>
      </c>
      <c r="B1468" s="2" t="s">
        <v>1484</v>
      </c>
      <c r="C1468" s="2" t="s">
        <v>1484</v>
      </c>
      <c r="D1468" s="3">
        <v>98485</v>
      </c>
      <c r="E1468" s="3">
        <v>83</v>
      </c>
      <c r="F1468" s="3">
        <v>83</v>
      </c>
      <c r="G1468" s="3" t="s">
        <v>1474</v>
      </c>
      <c r="H1468" s="3" t="str">
        <f ca="1">IFERROR(__xludf.DUMMYFUNCTION("GOOGLETRANSLATE(B1468,""auto"",""en"")"),"tape")</f>
        <v>tape</v>
      </c>
      <c r="I1468" s="3" t="str">
        <f ca="1">IFERROR(__xludf.DUMMYFUNCTION("GOOGLETRANSLATE(C1468,""auto"",""en"")"),"tape")</f>
        <v>tape</v>
      </c>
    </row>
    <row r="1469" spans="1:9" ht="13" x14ac:dyDescent="0.15">
      <c r="A1469" s="2" t="s">
        <v>1471</v>
      </c>
      <c r="B1469" s="2" t="s">
        <v>1485</v>
      </c>
      <c r="C1469" s="2" t="s">
        <v>1485</v>
      </c>
      <c r="D1469" s="3">
        <v>98485</v>
      </c>
      <c r="E1469" s="3">
        <v>70</v>
      </c>
      <c r="F1469" s="3">
        <v>70</v>
      </c>
      <c r="G1469" s="3" t="s">
        <v>1474</v>
      </c>
      <c r="H1469" s="3" t="str">
        <f ca="1">IFERROR(__xludf.DUMMYFUNCTION("GOOGLETRANSLATE(B1469,""auto"",""en"")"),"After-sales experience card")</f>
        <v>After-sales experience card</v>
      </c>
      <c r="I1469" s="3" t="str">
        <f ca="1">IFERROR(__xludf.DUMMYFUNCTION("GOOGLETRANSLATE(C1469,""auto"",""en"")"),"After-sales experience card")</f>
        <v>After-sales experience card</v>
      </c>
    </row>
    <row r="1470" spans="1:9" ht="13" x14ac:dyDescent="0.15">
      <c r="A1470" s="2" t="s">
        <v>1471</v>
      </c>
      <c r="B1470" s="2" t="s">
        <v>1486</v>
      </c>
      <c r="C1470" s="2" t="s">
        <v>1486</v>
      </c>
      <c r="D1470" s="3">
        <v>98485</v>
      </c>
      <c r="E1470" s="3">
        <v>32</v>
      </c>
      <c r="F1470" s="3">
        <v>32</v>
      </c>
      <c r="G1470" s="3" t="s">
        <v>1474</v>
      </c>
      <c r="H1470" s="3" t="str">
        <f ca="1">IFERROR(__xludf.DUMMYFUNCTION("GOOGLETRANSLATE(B1470,""auto"",""en"")"),"Stickers")</f>
        <v>Stickers</v>
      </c>
      <c r="I1470" s="3" t="str">
        <f ca="1">IFERROR(__xludf.DUMMYFUNCTION("GOOGLETRANSLATE(C1470,""auto"",""en"")"),"Stickers")</f>
        <v>Stickers</v>
      </c>
    </row>
    <row r="1471" spans="1:9" ht="13" x14ac:dyDescent="0.15">
      <c r="A1471" s="2" t="s">
        <v>1487</v>
      </c>
      <c r="B1471" s="2" t="s">
        <v>1488</v>
      </c>
      <c r="C1471" s="2" t="s">
        <v>1489</v>
      </c>
      <c r="D1471" s="3">
        <v>70746</v>
      </c>
      <c r="E1471" s="3">
        <v>64954</v>
      </c>
      <c r="F1471" s="3">
        <v>29309</v>
      </c>
      <c r="G1471" s="3" t="s">
        <v>1490</v>
      </c>
      <c r="H1471" s="3" t="str">
        <f ca="1">IFERROR(__xludf.DUMMYFUNCTION("GOOGLETRANSLATE(B1471,""auto"",""en"")"),"Food supplement")</f>
        <v>Food supplement</v>
      </c>
      <c r="I1471" s="3" t="str">
        <f ca="1">IFERROR(__xludf.DUMMYFUNCTION("GOOGLETRANSLATE(C1471,""auto"",""en"")"),"Rice / rice cereal / soup porridge")</f>
        <v>Rice / rice cereal / soup porridge</v>
      </c>
    </row>
    <row r="1472" spans="1:9" ht="13" x14ac:dyDescent="0.15">
      <c r="A1472" s="2" t="s">
        <v>1487</v>
      </c>
      <c r="B1472" s="2" t="s">
        <v>1488</v>
      </c>
      <c r="C1472" s="2" t="s">
        <v>1491</v>
      </c>
      <c r="D1472" s="3">
        <v>70746</v>
      </c>
      <c r="E1472" s="3">
        <v>64954</v>
      </c>
      <c r="F1472" s="3">
        <v>20079</v>
      </c>
      <c r="G1472" s="3" t="s">
        <v>1490</v>
      </c>
      <c r="H1472" s="3" t="str">
        <f ca="1">IFERROR(__xludf.DUMMYFUNCTION("GOOGLETRANSLATE(B1472,""auto"",""en"")"),"Food supplement")</f>
        <v>Food supplement</v>
      </c>
      <c r="I1472" s="3" t="str">
        <f ca="1">IFERROR(__xludf.DUMMYFUNCTION("GOOGLETRANSLATE(C1472,""auto"",""en"")"),"Molar bar / biscuits")</f>
        <v>Molar bar / biscuits</v>
      </c>
    </row>
    <row r="1473" spans="1:9" ht="13" x14ac:dyDescent="0.15">
      <c r="A1473" s="2" t="s">
        <v>1487</v>
      </c>
      <c r="B1473" s="2" t="s">
        <v>1488</v>
      </c>
      <c r="C1473" s="2" t="s">
        <v>1492</v>
      </c>
      <c r="D1473" s="3">
        <v>70746</v>
      </c>
      <c r="E1473" s="3">
        <v>64954</v>
      </c>
      <c r="F1473" s="3">
        <v>6602</v>
      </c>
      <c r="G1473" s="3" t="s">
        <v>1490</v>
      </c>
      <c r="H1473" s="3" t="str">
        <f ca="1">IFERROR(__xludf.DUMMYFUNCTION("GOOGLETRANSLATE(B1473,""auto"",""en"")"),"Food supplement")</f>
        <v>Food supplement</v>
      </c>
      <c r="I1473" s="3" t="str">
        <f ca="1">IFERROR(__xludf.DUMMYFUNCTION("GOOGLETRANSLATE(C1473,""auto"",""en"")"),"noodles")</f>
        <v>noodles</v>
      </c>
    </row>
    <row r="1474" spans="1:9" ht="13" x14ac:dyDescent="0.15">
      <c r="A1474" s="2" t="s">
        <v>1487</v>
      </c>
      <c r="B1474" s="2" t="s">
        <v>1488</v>
      </c>
      <c r="C1474" s="2" t="s">
        <v>1493</v>
      </c>
      <c r="D1474" s="3">
        <v>70746</v>
      </c>
      <c r="E1474" s="3">
        <v>64954</v>
      </c>
      <c r="F1474" s="3">
        <v>4704</v>
      </c>
      <c r="G1474" s="3" t="s">
        <v>1490</v>
      </c>
      <c r="H1474" s="3" t="str">
        <f ca="1">IFERROR(__xludf.DUMMYFUNCTION("GOOGLETRANSLATE(B1474,""auto"",""en"")"),"Food supplement")</f>
        <v>Food supplement</v>
      </c>
      <c r="I1474" s="3" t="str">
        <f ca="1">IFERROR(__xludf.DUMMYFUNCTION("GOOGLETRANSLATE(C1474,""auto"",""en"")"),"Fruit / vegetables / meat / mixed mud")</f>
        <v>Fruit / vegetables / meat / mixed mud</v>
      </c>
    </row>
    <row r="1475" spans="1:9" ht="13" x14ac:dyDescent="0.15">
      <c r="A1475" s="2" t="s">
        <v>1487</v>
      </c>
      <c r="B1475" s="2" t="s">
        <v>1488</v>
      </c>
      <c r="C1475" s="2" t="s">
        <v>782</v>
      </c>
      <c r="D1475" s="3">
        <v>70746</v>
      </c>
      <c r="E1475" s="3">
        <v>64954</v>
      </c>
      <c r="F1475" s="3">
        <v>2319</v>
      </c>
      <c r="G1475" s="3" t="s">
        <v>1490</v>
      </c>
      <c r="H1475" s="3" t="str">
        <f ca="1">IFERROR(__xludf.DUMMYFUNCTION("GOOGLETRANSLATE(B1475,""auto"",""en"")"),"Food supplement")</f>
        <v>Food supplement</v>
      </c>
      <c r="I1475" s="3" t="str">
        <f ca="1">IFERROR(__xludf.DUMMYFUNCTION("GOOGLETRANSLATE(C1475,""auto"",""en"")"),"other")</f>
        <v>other</v>
      </c>
    </row>
    <row r="1476" spans="1:9" ht="13" x14ac:dyDescent="0.15">
      <c r="A1476" s="2" t="s">
        <v>1487</v>
      </c>
      <c r="B1476" s="2" t="s">
        <v>1488</v>
      </c>
      <c r="C1476" s="2" t="s">
        <v>1494</v>
      </c>
      <c r="D1476" s="3">
        <v>70746</v>
      </c>
      <c r="E1476" s="3">
        <v>64954</v>
      </c>
      <c r="F1476" s="3">
        <v>1484</v>
      </c>
      <c r="G1476" s="3" t="s">
        <v>1490</v>
      </c>
      <c r="H1476" s="3" t="str">
        <f ca="1">IFERROR(__xludf.DUMMYFUNCTION("GOOGLETRANSLATE(B1476,""auto"",""en"")"),"Food supplement")</f>
        <v>Food supplement</v>
      </c>
      <c r="I1476" s="3" t="str">
        <f ca="1">IFERROR(__xludf.DUMMYFUNCTION("GOOGLETRANSLATE(C1476,""auto"",""en"")"),"Floss / dried fish floss")</f>
        <v>Floss / dried fish floss</v>
      </c>
    </row>
    <row r="1477" spans="1:9" ht="13" x14ac:dyDescent="0.15">
      <c r="A1477" s="2" t="s">
        <v>1487</v>
      </c>
      <c r="B1477" s="2" t="s">
        <v>1488</v>
      </c>
      <c r="C1477" s="2" t="s">
        <v>1495</v>
      </c>
      <c r="D1477" s="3">
        <v>70746</v>
      </c>
      <c r="E1477" s="3">
        <v>64954</v>
      </c>
      <c r="F1477" s="3">
        <v>397</v>
      </c>
      <c r="G1477" s="3" t="s">
        <v>1490</v>
      </c>
      <c r="H1477" s="3" t="str">
        <f ca="1">IFERROR(__xludf.DUMMYFUNCTION("GOOGLETRANSLATE(B1477,""auto"",""en"")"),"Food supplement")</f>
        <v>Food supplement</v>
      </c>
      <c r="I1477" s="3" t="str">
        <f ca="1">IFERROR(__xludf.DUMMYFUNCTION("GOOGLETRANSLATE(C1477,""auto"",""en"")"),"Juices / Drinks")</f>
        <v>Juices / Drinks</v>
      </c>
    </row>
    <row r="1478" spans="1:9" ht="13" x14ac:dyDescent="0.15">
      <c r="A1478" s="2" t="s">
        <v>1487</v>
      </c>
      <c r="B1478" s="2" t="s">
        <v>1488</v>
      </c>
      <c r="C1478" s="2" t="s">
        <v>1496</v>
      </c>
      <c r="D1478" s="3">
        <v>70746</v>
      </c>
      <c r="E1478" s="3">
        <v>64954</v>
      </c>
      <c r="F1478" s="3">
        <v>95</v>
      </c>
      <c r="G1478" s="3" t="s">
        <v>1490</v>
      </c>
      <c r="H1478" s="3" t="str">
        <f ca="1">IFERROR(__xludf.DUMMYFUNCTION("GOOGLETRANSLATE(B1478,""auto"",""en"")"),"Food supplement")</f>
        <v>Food supplement</v>
      </c>
      <c r="I1478" s="3" t="str">
        <f ca="1">IFERROR(__xludf.DUMMYFUNCTION("GOOGLETRANSLATE(C1478,""auto"",""en"")"),"Vegetable powder / fruit powder")</f>
        <v>Vegetable powder / fruit powder</v>
      </c>
    </row>
    <row r="1479" spans="1:9" ht="13" x14ac:dyDescent="0.15">
      <c r="A1479" s="2" t="s">
        <v>1487</v>
      </c>
      <c r="B1479" s="2" t="s">
        <v>1497</v>
      </c>
      <c r="C1479" s="2" t="s">
        <v>1498</v>
      </c>
      <c r="D1479" s="3">
        <v>70746</v>
      </c>
      <c r="E1479" s="3">
        <v>5836</v>
      </c>
      <c r="F1479" s="3">
        <v>3776</v>
      </c>
      <c r="G1479" s="3" t="s">
        <v>1490</v>
      </c>
      <c r="H1479" s="3" t="str">
        <f ca="1">IFERROR(__xludf.DUMMYFUNCTION("GOOGLETRANSLATE(B1479,""auto"",""en"")"),"Infant snacks")</f>
        <v>Infant snacks</v>
      </c>
      <c r="I1479" s="3" t="str">
        <f ca="1">IFERROR(__xludf.DUMMYFUNCTION("GOOGLETRANSLATE(C1479,""auto"",""en"")"),"Puffs")</f>
        <v>Puffs</v>
      </c>
    </row>
    <row r="1480" spans="1:9" ht="13" x14ac:dyDescent="0.15">
      <c r="A1480" s="2" t="s">
        <v>1487</v>
      </c>
      <c r="B1480" s="2" t="s">
        <v>1497</v>
      </c>
      <c r="C1480" s="2" t="s">
        <v>1499</v>
      </c>
      <c r="D1480" s="3">
        <v>70746</v>
      </c>
      <c r="E1480" s="3">
        <v>5836</v>
      </c>
      <c r="F1480" s="3">
        <v>1012</v>
      </c>
      <c r="G1480" s="3" t="s">
        <v>1490</v>
      </c>
      <c r="H1480" s="3" t="str">
        <f ca="1">IFERROR(__xludf.DUMMYFUNCTION("GOOGLETRANSLATE(B1480,""auto"",""en"")"),"Infant snacks")</f>
        <v>Infant snacks</v>
      </c>
      <c r="I1480" s="3" t="str">
        <f ca="1">IFERROR(__xludf.DUMMYFUNCTION("GOOGLETRANSLATE(C1480,""auto"",""en"")"),"Dissolved beans")</f>
        <v>Dissolved beans</v>
      </c>
    </row>
    <row r="1481" spans="1:9" ht="13" x14ac:dyDescent="0.15">
      <c r="A1481" s="2" t="s">
        <v>1487</v>
      </c>
      <c r="B1481" s="2" t="s">
        <v>1497</v>
      </c>
      <c r="C1481" s="2" t="s">
        <v>1500</v>
      </c>
      <c r="D1481" s="3">
        <v>70746</v>
      </c>
      <c r="E1481" s="3">
        <v>5836</v>
      </c>
      <c r="F1481" s="3">
        <v>927</v>
      </c>
      <c r="G1481" s="3" t="s">
        <v>1490</v>
      </c>
      <c r="H1481" s="3" t="str">
        <f ca="1">IFERROR(__xludf.DUMMYFUNCTION("GOOGLETRANSLATE(B1481,""auto"",""en"")"),"Infant snacks")</f>
        <v>Infant snacks</v>
      </c>
      <c r="I1481" s="3" t="str">
        <f ca="1">IFERROR(__xludf.DUMMYFUNCTION("GOOGLETRANSLATE(C1481,""auto"",""en"")"),"Sausage")</f>
        <v>Sausage</v>
      </c>
    </row>
    <row r="1482" spans="1:9" ht="13" x14ac:dyDescent="0.15">
      <c r="A1482" s="2" t="s">
        <v>1487</v>
      </c>
      <c r="B1482" s="2" t="s">
        <v>1497</v>
      </c>
      <c r="C1482" s="2" t="s">
        <v>1026</v>
      </c>
      <c r="D1482" s="3">
        <v>70746</v>
      </c>
      <c r="E1482" s="3">
        <v>5836</v>
      </c>
      <c r="F1482" s="3">
        <v>85</v>
      </c>
      <c r="G1482" s="3" t="s">
        <v>1490</v>
      </c>
      <c r="H1482" s="3" t="str">
        <f ca="1">IFERROR(__xludf.DUMMYFUNCTION("GOOGLETRANSLATE(B1482,""auto"",""en"")"),"Infant snacks")</f>
        <v>Infant snacks</v>
      </c>
      <c r="I1482" s="3" t="str">
        <f ca="1">IFERROR(__xludf.DUMMYFUNCTION("GOOGLETRANSLATE(C1482,""auto"",""en"")"),"Seaweed")</f>
        <v>Seaweed</v>
      </c>
    </row>
    <row r="1483" spans="1:9" ht="13" x14ac:dyDescent="0.15">
      <c r="A1483" s="2" t="s">
        <v>1487</v>
      </c>
      <c r="B1483" s="2" t="s">
        <v>1497</v>
      </c>
      <c r="C1483" s="2" t="s">
        <v>1501</v>
      </c>
      <c r="D1483" s="3">
        <v>70746</v>
      </c>
      <c r="E1483" s="3">
        <v>5836</v>
      </c>
      <c r="F1483" s="3">
        <v>27</v>
      </c>
      <c r="G1483" s="3" t="s">
        <v>1490</v>
      </c>
      <c r="H1483" s="3" t="str">
        <f ca="1">IFERROR(__xludf.DUMMYFUNCTION("GOOGLETRANSLATE(B1483,""auto"",""en"")"),"Infant snacks")</f>
        <v>Infant snacks</v>
      </c>
      <c r="I1483" s="3" t="str">
        <f ca="1">IFERROR(__xludf.DUMMYFUNCTION("GOOGLETRANSLATE(C1483,""auto"",""en"")"),"Other infant snacks")</f>
        <v>Other infant snacks</v>
      </c>
    </row>
    <row r="1484" spans="1:9" ht="13" x14ac:dyDescent="0.15">
      <c r="A1484" s="2" t="s">
        <v>1487</v>
      </c>
      <c r="B1484" s="2" t="s">
        <v>1497</v>
      </c>
      <c r="C1484" s="2" t="s">
        <v>1502</v>
      </c>
      <c r="D1484" s="3">
        <v>70746</v>
      </c>
      <c r="E1484" s="3">
        <v>5836</v>
      </c>
      <c r="F1484" s="3">
        <v>15</v>
      </c>
      <c r="G1484" s="3" t="s">
        <v>1490</v>
      </c>
      <c r="H1484" s="3" t="str">
        <f ca="1">IFERROR(__xludf.DUMMYFUNCTION("GOOGLETRANSLATE(B1484,""auto"",""en"")"),"Infant snacks")</f>
        <v>Infant snacks</v>
      </c>
      <c r="I1484" s="3" t="str">
        <f ca="1">IFERROR(__xludf.DUMMYFUNCTION("GOOGLETRANSLATE(C1484,""auto"",""en"")"),"candy")</f>
        <v>candy</v>
      </c>
    </row>
    <row r="1485" spans="1:9" ht="13" x14ac:dyDescent="0.15">
      <c r="A1485" s="2" t="s">
        <v>1487</v>
      </c>
      <c r="B1485" s="2" t="s">
        <v>1497</v>
      </c>
      <c r="C1485" s="2" t="s">
        <v>1503</v>
      </c>
      <c r="D1485" s="3">
        <v>70746</v>
      </c>
      <c r="E1485" s="3">
        <v>5836</v>
      </c>
      <c r="F1485" s="3">
        <v>4</v>
      </c>
      <c r="G1485" s="3" t="s">
        <v>1490</v>
      </c>
      <c r="H1485" s="3" t="str">
        <f ca="1">IFERROR(__xludf.DUMMYFUNCTION("GOOGLETRANSLATE(B1485,""auto"",""en"")"),"Infant snacks")</f>
        <v>Infant snacks</v>
      </c>
      <c r="I1485" s="3" t="str">
        <f ca="1">IFERROR(__xludf.DUMMYFUNCTION("GOOGLETRANSLATE(C1485,""auto"",""en"")"),"Article flesh")</f>
        <v>Article flesh</v>
      </c>
    </row>
    <row r="1486" spans="1:9" ht="13" x14ac:dyDescent="0.15">
      <c r="A1486" s="2" t="s">
        <v>1504</v>
      </c>
      <c r="B1486" s="2" t="s">
        <v>1505</v>
      </c>
      <c r="C1486" s="2" t="s">
        <v>1505</v>
      </c>
      <c r="D1486" s="3">
        <v>65713</v>
      </c>
      <c r="E1486" s="3">
        <v>64634</v>
      </c>
      <c r="F1486" s="3">
        <v>64634</v>
      </c>
      <c r="G1486" s="3" t="s">
        <v>1506</v>
      </c>
      <c r="H1486" s="3" t="str">
        <f ca="1">IFERROR(__xludf.DUMMYFUNCTION("GOOGLETRANSLATE(B1486,""auto"",""en"")"),"Infant milk powder")</f>
        <v>Infant milk powder</v>
      </c>
      <c r="I1486" s="3" t="str">
        <f ca="1">IFERROR(__xludf.DUMMYFUNCTION("GOOGLETRANSLATE(C1486,""auto"",""en"")"),"Infant milk powder")</f>
        <v>Infant milk powder</v>
      </c>
    </row>
    <row r="1487" spans="1:9" ht="13" x14ac:dyDescent="0.15">
      <c r="A1487" s="2" t="s">
        <v>1504</v>
      </c>
      <c r="B1487" s="2" t="s">
        <v>1507</v>
      </c>
      <c r="C1487" s="2" t="s">
        <v>1507</v>
      </c>
      <c r="D1487" s="3">
        <v>65713</v>
      </c>
      <c r="E1487" s="3">
        <v>1079</v>
      </c>
      <c r="F1487" s="3">
        <v>1079</v>
      </c>
      <c r="G1487" s="3" t="s">
        <v>1506</v>
      </c>
      <c r="H1487" s="3" t="str">
        <f ca="1">IFERROR(__xludf.DUMMYFUNCTION("GOOGLETRANSLATE(B1487,""auto"",""en"")"),"Adult milk powder")</f>
        <v>Adult milk powder</v>
      </c>
      <c r="I1487" s="3" t="str">
        <f ca="1">IFERROR(__xludf.DUMMYFUNCTION("GOOGLETRANSLATE(C1487,""auto"",""en"")"),"Adult milk powder")</f>
        <v>Adult milk powder</v>
      </c>
    </row>
    <row r="1488" spans="1:9" ht="13" x14ac:dyDescent="0.15">
      <c r="A1488" s="2" t="s">
        <v>1508</v>
      </c>
      <c r="B1488" s="2" t="s">
        <v>1509</v>
      </c>
      <c r="C1488" s="2" t="s">
        <v>1510</v>
      </c>
      <c r="D1488" s="3">
        <v>57459</v>
      </c>
      <c r="E1488" s="3">
        <v>53775</v>
      </c>
      <c r="F1488" s="3">
        <v>22836</v>
      </c>
      <c r="G1488" s="3" t="str">
        <f ca="1">IFERROR(__xludf.DUMMYFUNCTION("GOOGLETRANSLATE(A1488,""auto"",""en"")"),"Bags")</f>
        <v>Bags</v>
      </c>
      <c r="H1488" s="3" t="str">
        <f ca="1">IFERROR(__xludf.DUMMYFUNCTION("GOOGLETRANSLATE(B1488,""auto"",""en"")"),"Ms. bags")</f>
        <v>Ms. bags</v>
      </c>
      <c r="I1488" s="3" t="str">
        <f ca="1">IFERROR(__xludf.DUMMYFUNCTION("GOOGLETRANSLATE(C1488,""auto"",""en"")"),"Shoulder Bags")</f>
        <v>Shoulder Bags</v>
      </c>
    </row>
    <row r="1489" spans="1:9" ht="13" x14ac:dyDescent="0.15">
      <c r="A1489" s="2" t="s">
        <v>1508</v>
      </c>
      <c r="B1489" s="2" t="s">
        <v>1509</v>
      </c>
      <c r="C1489" s="2" t="s">
        <v>1511</v>
      </c>
      <c r="D1489" s="3">
        <v>57459</v>
      </c>
      <c r="E1489" s="3">
        <v>53775</v>
      </c>
      <c r="F1489" s="3">
        <v>15691</v>
      </c>
      <c r="G1489" s="3" t="str">
        <f ca="1">IFERROR(__xludf.DUMMYFUNCTION("GOOGLETRANSLATE(A1489,""auto"",""en"")"),"Bags")</f>
        <v>Bags</v>
      </c>
      <c r="H1489" s="3" t="str">
        <f ca="1">IFERROR(__xludf.DUMMYFUNCTION("GOOGLETRANSLATE(B1489,""auto"",""en"")"),"Ms. bags")</f>
        <v>Ms. bags</v>
      </c>
      <c r="I1489" s="3" t="str">
        <f ca="1">IFERROR(__xludf.DUMMYFUNCTION("GOOGLETRANSLATE(C1489,""auto"",""en"")"),"backpack")</f>
        <v>backpack</v>
      </c>
    </row>
    <row r="1490" spans="1:9" ht="13" x14ac:dyDescent="0.15">
      <c r="A1490" s="2" t="s">
        <v>1508</v>
      </c>
      <c r="B1490" s="2" t="s">
        <v>1509</v>
      </c>
      <c r="C1490" s="2" t="s">
        <v>1512</v>
      </c>
      <c r="D1490" s="3">
        <v>57459</v>
      </c>
      <c r="E1490" s="3">
        <v>53775</v>
      </c>
      <c r="F1490" s="3">
        <v>8307</v>
      </c>
      <c r="G1490" s="3" t="str">
        <f ca="1">IFERROR(__xludf.DUMMYFUNCTION("GOOGLETRANSLATE(A1490,""auto"",""en"")"),"Bags")</f>
        <v>Bags</v>
      </c>
      <c r="H1490" s="3" t="str">
        <f ca="1">IFERROR(__xludf.DUMMYFUNCTION("GOOGLETRANSLATE(B1490,""auto"",""en"")"),"Ms. bags")</f>
        <v>Ms. bags</v>
      </c>
      <c r="I1490" s="3" t="str">
        <f ca="1">IFERROR(__xludf.DUMMYFUNCTION("GOOGLETRANSLATE(C1490,""auto"",""en"")"),"Wallet / Clutch")</f>
        <v>Wallet / Clutch</v>
      </c>
    </row>
    <row r="1491" spans="1:9" ht="13" x14ac:dyDescent="0.15">
      <c r="A1491" s="2" t="s">
        <v>1508</v>
      </c>
      <c r="B1491" s="2" t="s">
        <v>1509</v>
      </c>
      <c r="C1491" s="2" t="s">
        <v>1513</v>
      </c>
      <c r="D1491" s="3">
        <v>57459</v>
      </c>
      <c r="E1491" s="3">
        <v>53775</v>
      </c>
      <c r="F1491" s="3">
        <v>3460</v>
      </c>
      <c r="G1491" s="3" t="str">
        <f ca="1">IFERROR(__xludf.DUMMYFUNCTION("GOOGLETRANSLATE(A1491,""auto"",""en"")"),"Bags")</f>
        <v>Bags</v>
      </c>
      <c r="H1491" s="3" t="str">
        <f ca="1">IFERROR(__xludf.DUMMYFUNCTION("GOOGLETRANSLATE(B1491,""auto"",""en"")"),"Ms. bags")</f>
        <v>Ms. bags</v>
      </c>
      <c r="I1491" s="3" t="str">
        <f ca="1">IFERROR(__xludf.DUMMYFUNCTION("GOOGLETRANSLATE(C1491,""auto"",""en"")"),"handbag")</f>
        <v>handbag</v>
      </c>
    </row>
    <row r="1492" spans="1:9" ht="13" x14ac:dyDescent="0.15">
      <c r="A1492" s="2" t="s">
        <v>1508</v>
      </c>
      <c r="B1492" s="2" t="s">
        <v>1509</v>
      </c>
      <c r="C1492" s="2" t="s">
        <v>1514</v>
      </c>
      <c r="D1492" s="3">
        <v>57459</v>
      </c>
      <c r="E1492" s="3">
        <v>53775</v>
      </c>
      <c r="F1492" s="3">
        <v>2272</v>
      </c>
      <c r="G1492" s="3" t="str">
        <f ca="1">IFERROR(__xludf.DUMMYFUNCTION("GOOGLETRANSLATE(A1492,""auto"",""en"")"),"Bags")</f>
        <v>Bags</v>
      </c>
      <c r="H1492" s="3" t="str">
        <f ca="1">IFERROR(__xludf.DUMMYFUNCTION("GOOGLETRANSLATE(B1492,""auto"",""en"")"),"Ms. bags")</f>
        <v>Ms. bags</v>
      </c>
      <c r="I1492" s="3" t="str">
        <f ca="1">IFERROR(__xludf.DUMMYFUNCTION("GOOGLETRANSLATE(C1492,""auto"",""en"")"),"Messenger Bag")</f>
        <v>Messenger Bag</v>
      </c>
    </row>
    <row r="1493" spans="1:9" ht="13" x14ac:dyDescent="0.15">
      <c r="A1493" s="2" t="s">
        <v>1508</v>
      </c>
      <c r="B1493" s="2" t="s">
        <v>1509</v>
      </c>
      <c r="C1493" s="2" t="s">
        <v>1515</v>
      </c>
      <c r="D1493" s="3">
        <v>57459</v>
      </c>
      <c r="E1493" s="3">
        <v>53775</v>
      </c>
      <c r="F1493" s="3">
        <v>1066</v>
      </c>
      <c r="G1493" s="3" t="str">
        <f ca="1">IFERROR(__xludf.DUMMYFUNCTION("GOOGLETRANSLATE(A1493,""auto"",""en"")"),"Bags")</f>
        <v>Bags</v>
      </c>
      <c r="H1493" s="3" t="str">
        <f ca="1">IFERROR(__xludf.DUMMYFUNCTION("GOOGLETRANSLATE(B1493,""auto"",""en"")"),"Ms. bags")</f>
        <v>Ms. bags</v>
      </c>
      <c r="I1493" s="3" t="str">
        <f ca="1">IFERROR(__xludf.DUMMYFUNCTION("GOOGLETRANSLATE(C1493,""auto"",""en"")"),"Purse / cosmetic bag")</f>
        <v>Purse / cosmetic bag</v>
      </c>
    </row>
    <row r="1494" spans="1:9" ht="13" x14ac:dyDescent="0.15">
      <c r="A1494" s="2" t="s">
        <v>1508</v>
      </c>
      <c r="B1494" s="2" t="s">
        <v>1509</v>
      </c>
      <c r="C1494" s="2" t="s">
        <v>1516</v>
      </c>
      <c r="D1494" s="3">
        <v>57459</v>
      </c>
      <c r="E1494" s="3">
        <v>53775</v>
      </c>
      <c r="F1494" s="3">
        <v>143</v>
      </c>
      <c r="G1494" s="3" t="str">
        <f ca="1">IFERROR(__xludf.DUMMYFUNCTION("GOOGLETRANSLATE(A1494,""auto"",""en"")"),"Bags")</f>
        <v>Bags</v>
      </c>
      <c r="H1494" s="3" t="str">
        <f ca="1">IFERROR(__xludf.DUMMYFUNCTION("GOOGLETRANSLATE(B1494,""auto"",""en"")"),"Ms. bags")</f>
        <v>Ms. bags</v>
      </c>
      <c r="I1494" s="3" t="str">
        <f ca="1">IFERROR(__xludf.DUMMYFUNCTION("GOOGLETRANSLATE(C1494,""auto"",""en"")"),"Shoulder bag / Messenger bag")</f>
        <v>Shoulder bag / Messenger bag</v>
      </c>
    </row>
    <row r="1495" spans="1:9" ht="13" x14ac:dyDescent="0.15">
      <c r="A1495" s="2" t="s">
        <v>1508</v>
      </c>
      <c r="B1495" s="2" t="s">
        <v>1517</v>
      </c>
      <c r="C1495" s="2" t="s">
        <v>510</v>
      </c>
      <c r="D1495" s="3">
        <v>57459</v>
      </c>
      <c r="E1495" s="3">
        <v>1164</v>
      </c>
      <c r="F1495" s="3">
        <v>1113</v>
      </c>
      <c r="G1495" s="3" t="str">
        <f ca="1">IFERROR(__xludf.DUMMYFUNCTION("GOOGLETRANSLATE(A1495,""auto"",""en"")"),"Bags")</f>
        <v>Bags</v>
      </c>
      <c r="H1495" s="3" t="str">
        <f ca="1">IFERROR(__xludf.DUMMYFUNCTION("GOOGLETRANSLATE(B1495,""auto"",""en"")"),"Bag / trolley")</f>
        <v>Bag / trolley</v>
      </c>
      <c r="I1495" s="3" t="str">
        <f ca="1">IFERROR(__xludf.DUMMYFUNCTION("GOOGLETRANSLATE(C1495,""auto"",""en"")"),"Trolley Case")</f>
        <v>Trolley Case</v>
      </c>
    </row>
    <row r="1496" spans="1:9" ht="13" x14ac:dyDescent="0.15">
      <c r="A1496" s="2" t="s">
        <v>1508</v>
      </c>
      <c r="B1496" s="2" t="s">
        <v>1517</v>
      </c>
      <c r="C1496" s="2" t="s">
        <v>1518</v>
      </c>
      <c r="D1496" s="3">
        <v>57459</v>
      </c>
      <c r="E1496" s="3">
        <v>1164</v>
      </c>
      <c r="F1496" s="3">
        <v>51</v>
      </c>
      <c r="G1496" s="3" t="str">
        <f ca="1">IFERROR(__xludf.DUMMYFUNCTION("GOOGLETRANSLATE(A1496,""auto"",""en"")"),"Bags")</f>
        <v>Bags</v>
      </c>
      <c r="H1496" s="3" t="str">
        <f ca="1">IFERROR(__xludf.DUMMYFUNCTION("GOOGLETRANSLATE(B1496,""auto"",""en"")"),"Bag / trolley")</f>
        <v>Bag / trolley</v>
      </c>
      <c r="I1496" s="3" t="str">
        <f ca="1">IFERROR(__xludf.DUMMYFUNCTION("GOOGLETRANSLATE(C1496,""auto"",""en"")"),"Travel bag")</f>
        <v>Travel bag</v>
      </c>
    </row>
    <row r="1497" spans="1:9" ht="13" x14ac:dyDescent="0.15">
      <c r="A1497" s="2" t="s">
        <v>1508</v>
      </c>
      <c r="B1497" s="2" t="s">
        <v>1519</v>
      </c>
      <c r="C1497" s="2" t="s">
        <v>1512</v>
      </c>
      <c r="D1497" s="3">
        <v>57459</v>
      </c>
      <c r="E1497" s="3">
        <v>1040</v>
      </c>
      <c r="F1497" s="3">
        <v>444</v>
      </c>
      <c r="G1497" s="3" t="str">
        <f ca="1">IFERROR(__xludf.DUMMYFUNCTION("GOOGLETRANSLATE(A1497,""auto"",""en"")"),"Bags")</f>
        <v>Bags</v>
      </c>
      <c r="H1497" s="3" t="str">
        <f ca="1">IFERROR(__xludf.DUMMYFUNCTION("GOOGLETRANSLATE(B1497,""auto"",""en"")"),"Men's Bags")</f>
        <v>Men's Bags</v>
      </c>
      <c r="I1497" s="3" t="str">
        <f ca="1">IFERROR(__xludf.DUMMYFUNCTION("GOOGLETRANSLATE(C1497,""auto"",""en"")"),"Wallet / Clutch")</f>
        <v>Wallet / Clutch</v>
      </c>
    </row>
    <row r="1498" spans="1:9" ht="13" x14ac:dyDescent="0.15">
      <c r="A1498" s="2" t="s">
        <v>1508</v>
      </c>
      <c r="B1498" s="2" t="s">
        <v>1519</v>
      </c>
      <c r="C1498" s="2" t="s">
        <v>1520</v>
      </c>
      <c r="D1498" s="3">
        <v>57459</v>
      </c>
      <c r="E1498" s="3">
        <v>1040</v>
      </c>
      <c r="F1498" s="3">
        <v>420</v>
      </c>
      <c r="G1498" s="3" t="str">
        <f ca="1">IFERROR(__xludf.DUMMYFUNCTION("GOOGLETRANSLATE(A1498,""auto"",""en"")"),"Bags")</f>
        <v>Bags</v>
      </c>
      <c r="H1498" s="3" t="str">
        <f ca="1">IFERROR(__xludf.DUMMYFUNCTION("GOOGLETRANSLATE(B1498,""auto"",""en"")"),"Men's Bags")</f>
        <v>Men's Bags</v>
      </c>
      <c r="I1498" s="3" t="str">
        <f ca="1">IFERROR(__xludf.DUMMYFUNCTION("GOOGLETRANSLATE(C1498,""auto"",""en"")"),"Purses / chest bag")</f>
        <v>Purses / chest bag</v>
      </c>
    </row>
    <row r="1499" spans="1:9" ht="13" x14ac:dyDescent="0.15">
      <c r="A1499" s="2" t="s">
        <v>1508</v>
      </c>
      <c r="B1499" s="2" t="s">
        <v>1519</v>
      </c>
      <c r="C1499" s="2" t="s">
        <v>1516</v>
      </c>
      <c r="D1499" s="3">
        <v>57459</v>
      </c>
      <c r="E1499" s="3">
        <v>1040</v>
      </c>
      <c r="F1499" s="3">
        <v>83</v>
      </c>
      <c r="G1499" s="3" t="str">
        <f ca="1">IFERROR(__xludf.DUMMYFUNCTION("GOOGLETRANSLATE(A1499,""auto"",""en"")"),"Bags")</f>
        <v>Bags</v>
      </c>
      <c r="H1499" s="3" t="str">
        <f ca="1">IFERROR(__xludf.DUMMYFUNCTION("GOOGLETRANSLATE(B1499,""auto"",""en"")"),"Men's Bags")</f>
        <v>Men's Bags</v>
      </c>
      <c r="I1499" s="3" t="str">
        <f ca="1">IFERROR(__xludf.DUMMYFUNCTION("GOOGLETRANSLATE(C1499,""auto"",""en"")"),"Shoulder bag / Messenger bag")</f>
        <v>Shoulder bag / Messenger bag</v>
      </c>
    </row>
    <row r="1500" spans="1:9" ht="13" x14ac:dyDescent="0.15">
      <c r="A1500" s="2" t="s">
        <v>1508</v>
      </c>
      <c r="B1500" s="2" t="s">
        <v>1519</v>
      </c>
      <c r="C1500" s="2" t="s">
        <v>1521</v>
      </c>
      <c r="D1500" s="3">
        <v>57459</v>
      </c>
      <c r="E1500" s="3">
        <v>1040</v>
      </c>
      <c r="F1500" s="3">
        <v>63</v>
      </c>
      <c r="G1500" s="3" t="str">
        <f ca="1">IFERROR(__xludf.DUMMYFUNCTION("GOOGLETRANSLATE(A1500,""auto"",""en"")"),"Bags")</f>
        <v>Bags</v>
      </c>
      <c r="H1500" s="3" t="str">
        <f ca="1">IFERROR(__xludf.DUMMYFUNCTION("GOOGLETRANSLATE(B1500,""auto"",""en"")"),"Men's Bags")</f>
        <v>Men's Bags</v>
      </c>
      <c r="I1500" s="3" t="str">
        <f ca="1">IFERROR(__xludf.DUMMYFUNCTION("GOOGLETRANSLATE(C1500,""auto"",""en"")"),"Handbag / briefcase")</f>
        <v>Handbag / briefcase</v>
      </c>
    </row>
    <row r="1501" spans="1:9" ht="13" x14ac:dyDescent="0.15">
      <c r="A1501" s="2" t="s">
        <v>1508</v>
      </c>
      <c r="B1501" s="2" t="s">
        <v>1519</v>
      </c>
      <c r="C1501" s="2" t="s">
        <v>1511</v>
      </c>
      <c r="D1501" s="3">
        <v>57459</v>
      </c>
      <c r="E1501" s="3">
        <v>1040</v>
      </c>
      <c r="F1501" s="3">
        <v>30</v>
      </c>
      <c r="G1501" s="3" t="str">
        <f ca="1">IFERROR(__xludf.DUMMYFUNCTION("GOOGLETRANSLATE(A1501,""auto"",""en"")"),"Bags")</f>
        <v>Bags</v>
      </c>
      <c r="H1501" s="3" t="str">
        <f ca="1">IFERROR(__xludf.DUMMYFUNCTION("GOOGLETRANSLATE(B1501,""auto"",""en"")"),"Men's Bags")</f>
        <v>Men's Bags</v>
      </c>
      <c r="I1501" s="3" t="str">
        <f ca="1">IFERROR(__xludf.DUMMYFUNCTION("GOOGLETRANSLATE(C1501,""auto"",""en"")"),"backpack")</f>
        <v>backpack</v>
      </c>
    </row>
    <row r="1502" spans="1:9" ht="13" x14ac:dyDescent="0.15">
      <c r="A1502" s="2" t="s">
        <v>1508</v>
      </c>
      <c r="B1502" s="2" t="s">
        <v>1522</v>
      </c>
      <c r="C1502" s="2" t="s">
        <v>1522</v>
      </c>
      <c r="D1502" s="3">
        <v>57459</v>
      </c>
      <c r="E1502" s="3">
        <v>1011</v>
      </c>
      <c r="F1502" s="3">
        <v>1011</v>
      </c>
      <c r="G1502" s="3" t="str">
        <f ca="1">IFERROR(__xludf.DUMMYFUNCTION("GOOGLETRANSLATE(A1502,""auto"",""en"")"),"Bags")</f>
        <v>Bags</v>
      </c>
      <c r="H1502" s="3" t="str">
        <f ca="1">IFERROR(__xludf.DUMMYFUNCTION("GOOGLETRANSLATE(B1502,""auto"",""en"")"),"Motion / mountaineering bag")</f>
        <v>Motion / mountaineering bag</v>
      </c>
      <c r="I1502" s="3" t="str">
        <f ca="1">IFERROR(__xludf.DUMMYFUNCTION("GOOGLETRANSLATE(C1502,""auto"",""en"")"),"Motion / mountaineering bag")</f>
        <v>Motion / mountaineering bag</v>
      </c>
    </row>
    <row r="1503" spans="1:9" ht="13" x14ac:dyDescent="0.15">
      <c r="A1503" s="2" t="s">
        <v>1508</v>
      </c>
      <c r="B1503" s="2" t="s">
        <v>1523</v>
      </c>
      <c r="C1503" s="2" t="s">
        <v>1523</v>
      </c>
      <c r="D1503" s="3">
        <v>57459</v>
      </c>
      <c r="E1503" s="3">
        <v>356</v>
      </c>
      <c r="F1503" s="3">
        <v>356</v>
      </c>
      <c r="G1503" s="3" t="str">
        <f ca="1">IFERROR(__xludf.DUMMYFUNCTION("GOOGLETRANSLATE(A1503,""auto"",""en"")"),"Bags")</f>
        <v>Bags</v>
      </c>
      <c r="H1503" s="3" t="str">
        <f ca="1">IFERROR(__xludf.DUMMYFUNCTION("GOOGLETRANSLATE(B1503,""auto"",""en"")"),"Phone package / key cases / documents bag / card package / card sets")</f>
        <v>Phone package / key cases / documents bag / card package / card sets</v>
      </c>
      <c r="I1503" s="3" t="str">
        <f ca="1">IFERROR(__xludf.DUMMYFUNCTION("GOOGLETRANSLATE(C1503,""auto"",""en"")"),"Phone package / key cases / documents bag / card package / card sets")</f>
        <v>Phone package / key cases / documents bag / card package / card sets</v>
      </c>
    </row>
    <row r="1504" spans="1:9" ht="13" x14ac:dyDescent="0.15">
      <c r="A1504" s="2" t="s">
        <v>1508</v>
      </c>
      <c r="B1504" s="2" t="s">
        <v>1524</v>
      </c>
      <c r="C1504" s="2" t="s">
        <v>1524</v>
      </c>
      <c r="D1504" s="3">
        <v>57459</v>
      </c>
      <c r="E1504" s="3">
        <v>93</v>
      </c>
      <c r="F1504" s="3">
        <v>93</v>
      </c>
      <c r="G1504" s="3" t="str">
        <f ca="1">IFERROR(__xludf.DUMMYFUNCTION("GOOGLETRANSLATE(A1504,""auto"",""en"")"),"Bags")</f>
        <v>Bags</v>
      </c>
      <c r="H1504" s="3" t="str">
        <f ca="1">IFERROR(__xludf.DUMMYFUNCTION("GOOGLETRANSLATE(B1504,""auto"",""en"")"),"canvas bag")</f>
        <v>canvas bag</v>
      </c>
      <c r="I1504" s="3" t="str">
        <f ca="1">IFERROR(__xludf.DUMMYFUNCTION("GOOGLETRANSLATE(C1504,""auto"",""en"")"),"canvas bag")</f>
        <v>canvas bag</v>
      </c>
    </row>
    <row r="1505" spans="1:9" ht="13" x14ac:dyDescent="0.15">
      <c r="A1505" s="2" t="s">
        <v>1508</v>
      </c>
      <c r="B1505" s="2" t="s">
        <v>1525</v>
      </c>
      <c r="C1505" s="2" t="s">
        <v>1525</v>
      </c>
      <c r="D1505" s="3">
        <v>57459</v>
      </c>
      <c r="E1505" s="3">
        <v>13</v>
      </c>
      <c r="F1505" s="3">
        <v>13</v>
      </c>
      <c r="G1505" s="3" t="str">
        <f ca="1">IFERROR(__xludf.DUMMYFUNCTION("GOOGLETRANSLATE(A1505,""auto"",""en"")"),"Bags")</f>
        <v>Bags</v>
      </c>
      <c r="H1505" s="3" t="str">
        <f ca="1">IFERROR(__xludf.DUMMYFUNCTION("GOOGLETRANSLATE(B1505,""auto"",""en"")"),"Bags, accessories")</f>
        <v>Bags, accessories</v>
      </c>
      <c r="I1505" s="3" t="str">
        <f ca="1">IFERROR(__xludf.DUMMYFUNCTION("GOOGLETRANSLATE(C1505,""auto"",""en"")"),"Bags, accessories")</f>
        <v>Bags, accessories</v>
      </c>
    </row>
    <row r="1506" spans="1:9" ht="13" x14ac:dyDescent="0.15">
      <c r="A1506" s="2" t="s">
        <v>1508</v>
      </c>
      <c r="B1506" s="2" t="s">
        <v>1526</v>
      </c>
      <c r="C1506" s="2" t="s">
        <v>1526</v>
      </c>
      <c r="D1506" s="3">
        <v>57459</v>
      </c>
      <c r="E1506" s="3">
        <v>7</v>
      </c>
      <c r="F1506" s="3">
        <v>7</v>
      </c>
      <c r="G1506" s="3" t="str">
        <f ca="1">IFERROR(__xludf.DUMMYFUNCTION("GOOGLETRANSLATE(A1506,""auto"",""en"")"),"Bags")</f>
        <v>Bags</v>
      </c>
      <c r="H1506" s="3" t="str">
        <f ca="1">IFERROR(__xludf.DUMMYFUNCTION("GOOGLETRANSLATE(B1506,""auto"",""en"")"),"laptop bag")</f>
        <v>laptop bag</v>
      </c>
      <c r="I1506" s="3" t="str">
        <f ca="1">IFERROR(__xludf.DUMMYFUNCTION("GOOGLETRANSLATE(C1506,""auto"",""en"")"),"laptop bag")</f>
        <v>laptop bag</v>
      </c>
    </row>
    <row r="1507" spans="1:9" ht="13" x14ac:dyDescent="0.15">
      <c r="A1507" s="2" t="s">
        <v>1527</v>
      </c>
      <c r="B1507" s="2" t="s">
        <v>1528</v>
      </c>
      <c r="C1507" s="2" t="s">
        <v>1529</v>
      </c>
      <c r="D1507" s="3">
        <v>19176</v>
      </c>
      <c r="E1507" s="3">
        <v>12166</v>
      </c>
      <c r="F1507" s="3">
        <v>3410</v>
      </c>
      <c r="G1507" s="3" t="s">
        <v>1530</v>
      </c>
      <c r="H1507" s="3" t="str">
        <f ca="1">IFERROR(__xludf.DUMMYFUNCTION("GOOGLETRANSLATE(B1507,""auto"",""en"")"),"Infant nutrition")</f>
        <v>Infant nutrition</v>
      </c>
      <c r="I1507" s="3" t="str">
        <f ca="1">IFERROR(__xludf.DUMMYFUNCTION("GOOGLETRANSLATE(C1507,""auto"",""en"")"),"Ca, Fe, Zn")</f>
        <v>Ca, Fe, Zn</v>
      </c>
    </row>
    <row r="1508" spans="1:9" ht="13" x14ac:dyDescent="0.15">
      <c r="A1508" s="2" t="s">
        <v>1527</v>
      </c>
      <c r="B1508" s="2" t="s">
        <v>1528</v>
      </c>
      <c r="C1508" s="2" t="s">
        <v>1531</v>
      </c>
      <c r="D1508" s="3">
        <v>19176</v>
      </c>
      <c r="E1508" s="3">
        <v>12166</v>
      </c>
      <c r="F1508" s="3">
        <v>1960</v>
      </c>
      <c r="G1508" s="3" t="s">
        <v>1530</v>
      </c>
      <c r="H1508" s="3" t="str">
        <f ca="1">IFERROR(__xludf.DUMMYFUNCTION("GOOGLETRANSLATE(B1508,""auto"",""en"")"),"Infant nutrition")</f>
        <v>Infant nutrition</v>
      </c>
      <c r="I1508" s="3" t="str">
        <f ca="1">IFERROR(__xludf.DUMMYFUNCTION("GOOGLETRANSLATE(C1508,""auto"",""en"")"),"Cod liver oil")</f>
        <v>Cod liver oil</v>
      </c>
    </row>
    <row r="1509" spans="1:9" ht="13" x14ac:dyDescent="0.15">
      <c r="A1509" s="2" t="s">
        <v>1527</v>
      </c>
      <c r="B1509" s="2" t="s">
        <v>1528</v>
      </c>
      <c r="C1509" s="2" t="s">
        <v>1532</v>
      </c>
      <c r="D1509" s="3">
        <v>19176</v>
      </c>
      <c r="E1509" s="3">
        <v>12166</v>
      </c>
      <c r="F1509" s="3">
        <v>1630</v>
      </c>
      <c r="G1509" s="3" t="s">
        <v>1530</v>
      </c>
      <c r="H1509" s="3" t="str">
        <f ca="1">IFERROR(__xludf.DUMMYFUNCTION("GOOGLETRANSLATE(B1509,""auto"",""en"")"),"Infant nutrition")</f>
        <v>Infant nutrition</v>
      </c>
      <c r="I1509" s="3" t="str">
        <f ca="1">IFERROR(__xludf.DUMMYFUNCTION("GOOGLETRANSLATE(C1509,""auto"",""en"")"),"Vitamins")</f>
        <v>Vitamins</v>
      </c>
    </row>
    <row r="1510" spans="1:9" ht="13" x14ac:dyDescent="0.15">
      <c r="A1510" s="2" t="s">
        <v>1527</v>
      </c>
      <c r="B1510" s="2" t="s">
        <v>1528</v>
      </c>
      <c r="C1510" s="2" t="s">
        <v>1533</v>
      </c>
      <c r="D1510" s="3">
        <v>19176</v>
      </c>
      <c r="E1510" s="3">
        <v>12166</v>
      </c>
      <c r="F1510" s="3">
        <v>1436</v>
      </c>
      <c r="G1510" s="3" t="s">
        <v>1530</v>
      </c>
      <c r="H1510" s="3" t="str">
        <f ca="1">IFERROR(__xludf.DUMMYFUNCTION("GOOGLETRANSLATE(B1510,""auto"",""en"")"),"Infant nutrition")</f>
        <v>Infant nutrition</v>
      </c>
      <c r="I1510" s="3" t="str">
        <f ca="1">IFERROR(__xludf.DUMMYFUNCTION("GOOGLETRANSLATE(C1510,""auto"",""en"")"),"Probiotics")</f>
        <v>Probiotics</v>
      </c>
    </row>
    <row r="1511" spans="1:9" ht="13" x14ac:dyDescent="0.15">
      <c r="A1511" s="2" t="s">
        <v>1527</v>
      </c>
      <c r="B1511" s="2" t="s">
        <v>1528</v>
      </c>
      <c r="C1511" s="3" t="s">
        <v>1534</v>
      </c>
      <c r="D1511" s="3">
        <v>19176</v>
      </c>
      <c r="E1511" s="3">
        <v>12166</v>
      </c>
      <c r="F1511" s="3">
        <v>1372</v>
      </c>
      <c r="G1511" s="3" t="s">
        <v>1530</v>
      </c>
      <c r="H1511" s="3" t="str">
        <f ca="1">IFERROR(__xludf.DUMMYFUNCTION("GOOGLETRANSLATE(B1511,""auto"",""en"")"),"Infant nutrition")</f>
        <v>Infant nutrition</v>
      </c>
      <c r="I1511" s="3" t="str">
        <f ca="1">IFERROR(__xludf.DUMMYFUNCTION("GOOGLETRANSLATE(C1511,""auto"",""en"")"),"DHA / walnut oil")</f>
        <v>DHA / walnut oil</v>
      </c>
    </row>
    <row r="1512" spans="1:9" ht="13" x14ac:dyDescent="0.15">
      <c r="A1512" s="2" t="s">
        <v>1527</v>
      </c>
      <c r="B1512" s="2" t="s">
        <v>1528</v>
      </c>
      <c r="C1512" s="2" t="s">
        <v>1535</v>
      </c>
      <c r="D1512" s="3">
        <v>19176</v>
      </c>
      <c r="E1512" s="3">
        <v>12166</v>
      </c>
      <c r="F1512" s="3">
        <v>1161</v>
      </c>
      <c r="G1512" s="3" t="s">
        <v>1530</v>
      </c>
      <c r="H1512" s="3" t="str">
        <f ca="1">IFERROR(__xludf.DUMMYFUNCTION("GOOGLETRANSLATE(B1512,""auto"",""en"")"),"Infant nutrition")</f>
        <v>Infant nutrition</v>
      </c>
      <c r="I1512" s="3" t="str">
        <f ca="1">IFERROR(__xludf.DUMMYFUNCTION("GOOGLETRANSLATE(C1512,""auto"",""en"")"),"Qinghuo / appetizers / milk with")</f>
        <v>Qinghuo / appetizers / milk with</v>
      </c>
    </row>
    <row r="1513" spans="1:9" ht="13" x14ac:dyDescent="0.15">
      <c r="A1513" s="2" t="s">
        <v>1527</v>
      </c>
      <c r="B1513" s="2" t="s">
        <v>1528</v>
      </c>
      <c r="C1513" s="2" t="s">
        <v>782</v>
      </c>
      <c r="D1513" s="3">
        <v>19176</v>
      </c>
      <c r="E1513" s="3">
        <v>12166</v>
      </c>
      <c r="F1513" s="3">
        <v>820</v>
      </c>
      <c r="G1513" s="3" t="s">
        <v>1530</v>
      </c>
      <c r="H1513" s="3" t="str">
        <f ca="1">IFERROR(__xludf.DUMMYFUNCTION("GOOGLETRANSLATE(B1513,""auto"",""en"")"),"Infant nutrition")</f>
        <v>Infant nutrition</v>
      </c>
      <c r="I1513" s="3" t="str">
        <f ca="1">IFERROR(__xludf.DUMMYFUNCTION("GOOGLETRANSLATE(C1513,""auto"",""en"")"),"other")</f>
        <v>other</v>
      </c>
    </row>
    <row r="1514" spans="1:9" ht="13" x14ac:dyDescent="0.15">
      <c r="A1514" s="2" t="s">
        <v>1527</v>
      </c>
      <c r="B1514" s="2" t="s">
        <v>1528</v>
      </c>
      <c r="C1514" s="2" t="s">
        <v>1536</v>
      </c>
      <c r="D1514" s="3">
        <v>19176</v>
      </c>
      <c r="E1514" s="3">
        <v>12166</v>
      </c>
      <c r="F1514" s="3">
        <v>320</v>
      </c>
      <c r="G1514" s="3" t="s">
        <v>1530</v>
      </c>
      <c r="H1514" s="3" t="str">
        <f ca="1">IFERROR(__xludf.DUMMYFUNCTION("GOOGLETRANSLATE(B1514,""auto"",""en"")"),"Infant nutrition")</f>
        <v>Infant nutrition</v>
      </c>
      <c r="I1514" s="3" t="str">
        <f ca="1">IFERROR(__xludf.DUMMYFUNCTION("GOOGLETRANSLATE(C1514,""auto"",""en"")"),"glucose")</f>
        <v>glucose</v>
      </c>
    </row>
    <row r="1515" spans="1:9" ht="13" x14ac:dyDescent="0.15">
      <c r="A1515" s="2" t="s">
        <v>1527</v>
      </c>
      <c r="B1515" s="2" t="s">
        <v>1528</v>
      </c>
      <c r="C1515" s="2" t="s">
        <v>1537</v>
      </c>
      <c r="D1515" s="3">
        <v>19176</v>
      </c>
      <c r="E1515" s="3">
        <v>12166</v>
      </c>
      <c r="F1515" s="3">
        <v>36</v>
      </c>
      <c r="G1515" s="3" t="s">
        <v>1530</v>
      </c>
      <c r="H1515" s="3" t="str">
        <f ca="1">IFERROR(__xludf.DUMMYFUNCTION("GOOGLETRANSLATE(B1515,""auto"",""en"")"),"Infant nutrition")</f>
        <v>Infant nutrition</v>
      </c>
      <c r="I1515" s="3" t="str">
        <f ca="1">IFERROR(__xludf.DUMMYFUNCTION("GOOGLETRANSLATE(C1515,""auto"",""en"")"),"Colostrum")</f>
        <v>Colostrum</v>
      </c>
    </row>
    <row r="1516" spans="1:9" ht="13" x14ac:dyDescent="0.15">
      <c r="A1516" s="2" t="s">
        <v>1527</v>
      </c>
      <c r="B1516" s="2" t="s">
        <v>1528</v>
      </c>
      <c r="C1516" s="2" t="s">
        <v>1538</v>
      </c>
      <c r="D1516" s="3">
        <v>19176</v>
      </c>
      <c r="E1516" s="3">
        <v>12166</v>
      </c>
      <c r="F1516" s="3">
        <v>21</v>
      </c>
      <c r="G1516" s="3" t="s">
        <v>1530</v>
      </c>
      <c r="H1516" s="3" t="str">
        <f ca="1">IFERROR(__xludf.DUMMYFUNCTION("GOOGLETRANSLATE(B1516,""auto"",""en"")"),"Infant nutrition")</f>
        <v>Infant nutrition</v>
      </c>
      <c r="I1516" s="3" t="str">
        <f ca="1">IFERROR(__xludf.DUMMYFUNCTION("GOOGLETRANSLATE(C1516,""auto"",""en"")"),"Protein powder")</f>
        <v>Protein powder</v>
      </c>
    </row>
    <row r="1517" spans="1:9" ht="13" x14ac:dyDescent="0.15">
      <c r="A1517" s="2" t="s">
        <v>1527</v>
      </c>
      <c r="B1517" s="2" t="s">
        <v>1539</v>
      </c>
      <c r="C1517" s="2" t="s">
        <v>1532</v>
      </c>
      <c r="D1517" s="3">
        <v>19176</v>
      </c>
      <c r="E1517" s="3">
        <v>3116</v>
      </c>
      <c r="F1517" s="3">
        <v>803</v>
      </c>
      <c r="G1517" s="3" t="s">
        <v>1530</v>
      </c>
      <c r="H1517" s="3" t="str">
        <f ca="1">IFERROR(__xludf.DUMMYFUNCTION("GOOGLETRANSLATE(B1517,""auto"",""en"")"),"Health Food")</f>
        <v>Health Food</v>
      </c>
      <c r="I1517" s="3" t="str">
        <f ca="1">IFERROR(__xludf.DUMMYFUNCTION("GOOGLETRANSLATE(C1517,""auto"",""en"")"),"Vitamins")</f>
        <v>Vitamins</v>
      </c>
    </row>
    <row r="1518" spans="1:9" ht="13" x14ac:dyDescent="0.15">
      <c r="A1518" s="2" t="s">
        <v>1527</v>
      </c>
      <c r="B1518" s="2" t="s">
        <v>1539</v>
      </c>
      <c r="C1518" s="2" t="s">
        <v>92</v>
      </c>
      <c r="D1518" s="3">
        <v>19176</v>
      </c>
      <c r="E1518" s="3">
        <v>3116</v>
      </c>
      <c r="F1518" s="3">
        <v>746</v>
      </c>
      <c r="G1518" s="3" t="s">
        <v>1530</v>
      </c>
      <c r="H1518" s="3" t="str">
        <f ca="1">IFERROR(__xludf.DUMMYFUNCTION("GOOGLETRANSLATE(B1518,""auto"",""en"")"),"Health Food")</f>
        <v>Health Food</v>
      </c>
      <c r="I1518" s="3" t="str">
        <f ca="1">IFERROR(__xludf.DUMMYFUNCTION("GOOGLETRANSLATE(C1518,""auto"",""en"")"),"other")</f>
        <v>other</v>
      </c>
    </row>
    <row r="1519" spans="1:9" ht="13" x14ac:dyDescent="0.15">
      <c r="A1519" s="2" t="s">
        <v>1527</v>
      </c>
      <c r="B1519" s="2" t="s">
        <v>1539</v>
      </c>
      <c r="C1519" s="2" t="s">
        <v>1529</v>
      </c>
      <c r="D1519" s="3">
        <v>19176</v>
      </c>
      <c r="E1519" s="3">
        <v>3116</v>
      </c>
      <c r="F1519" s="3">
        <v>267</v>
      </c>
      <c r="G1519" s="3" t="s">
        <v>1530</v>
      </c>
      <c r="H1519" s="3" t="str">
        <f ca="1">IFERROR(__xludf.DUMMYFUNCTION("GOOGLETRANSLATE(B1519,""auto"",""en"")"),"Health Food")</f>
        <v>Health Food</v>
      </c>
      <c r="I1519" s="3" t="str">
        <f ca="1">IFERROR(__xludf.DUMMYFUNCTION("GOOGLETRANSLATE(C1519,""auto"",""en"")"),"Ca, Fe, Zn")</f>
        <v>Ca, Fe, Zn</v>
      </c>
    </row>
    <row r="1520" spans="1:9" ht="13" x14ac:dyDescent="0.15">
      <c r="A1520" s="2" t="s">
        <v>1527</v>
      </c>
      <c r="B1520" s="2" t="s">
        <v>1539</v>
      </c>
      <c r="C1520" s="2" t="s">
        <v>1540</v>
      </c>
      <c r="D1520" s="3">
        <v>19176</v>
      </c>
      <c r="E1520" s="3">
        <v>3116</v>
      </c>
      <c r="F1520" s="3">
        <v>226</v>
      </c>
      <c r="G1520" s="3" t="s">
        <v>1530</v>
      </c>
      <c r="H1520" s="3" t="str">
        <f ca="1">IFERROR(__xludf.DUMMYFUNCTION("GOOGLETRANSLATE(B1520,""auto"",""en"")"),"Health Food")</f>
        <v>Health Food</v>
      </c>
      <c r="I1520" s="3" t="str">
        <f ca="1">IFERROR(__xludf.DUMMYFUNCTION("GOOGLETRANSLATE(C1520,""auto"",""en"")"),"cranberry")</f>
        <v>cranberry</v>
      </c>
    </row>
    <row r="1521" spans="1:9" ht="13" x14ac:dyDescent="0.15">
      <c r="A1521" s="2" t="s">
        <v>1527</v>
      </c>
      <c r="B1521" s="2" t="s">
        <v>1539</v>
      </c>
      <c r="C1521" s="2" t="s">
        <v>1541</v>
      </c>
      <c r="D1521" s="3">
        <v>19176</v>
      </c>
      <c r="E1521" s="3">
        <v>3116</v>
      </c>
      <c r="F1521" s="3">
        <v>144</v>
      </c>
      <c r="G1521" s="3" t="s">
        <v>1530</v>
      </c>
      <c r="H1521" s="3" t="str">
        <f ca="1">IFERROR(__xludf.DUMMYFUNCTION("GOOGLETRANSLATE(B1521,""auto"",""en"")"),"Health Food")</f>
        <v>Health Food</v>
      </c>
      <c r="I1521" s="3" t="str">
        <f ca="1">IFERROR(__xludf.DUMMYFUNCTION("GOOGLETRANSLATE(C1521,""auto"",""en"")"),"Fish oil / phospholipid")</f>
        <v>Fish oil / phospholipid</v>
      </c>
    </row>
    <row r="1522" spans="1:9" ht="13" x14ac:dyDescent="0.15">
      <c r="A1522" s="2" t="s">
        <v>1527</v>
      </c>
      <c r="B1522" s="2" t="s">
        <v>1539</v>
      </c>
      <c r="C1522" s="2" t="s">
        <v>1542</v>
      </c>
      <c r="D1522" s="3">
        <v>19176</v>
      </c>
      <c r="E1522" s="3">
        <v>3116</v>
      </c>
      <c r="F1522" s="3">
        <v>141</v>
      </c>
      <c r="G1522" s="3" t="s">
        <v>1530</v>
      </c>
      <c r="H1522" s="3" t="str">
        <f ca="1">IFERROR(__xludf.DUMMYFUNCTION("GOOGLETRANSLATE(B1522,""auto"",""en"")"),"Health Food")</f>
        <v>Health Food</v>
      </c>
      <c r="I1522" s="3" t="str">
        <f ca="1">IFERROR(__xludf.DUMMYFUNCTION("GOOGLETRANSLATE(C1522,""auto"",""en"")"),"L-carnitine")</f>
        <v>L-carnitine</v>
      </c>
    </row>
    <row r="1523" spans="1:9" ht="13" x14ac:dyDescent="0.15">
      <c r="A1523" s="2" t="s">
        <v>1527</v>
      </c>
      <c r="B1523" s="2" t="s">
        <v>1539</v>
      </c>
      <c r="C1523" s="2" t="s">
        <v>1533</v>
      </c>
      <c r="D1523" s="3">
        <v>19176</v>
      </c>
      <c r="E1523" s="3">
        <v>3116</v>
      </c>
      <c r="F1523" s="3">
        <v>114</v>
      </c>
      <c r="G1523" s="3" t="s">
        <v>1530</v>
      </c>
      <c r="H1523" s="3" t="str">
        <f ca="1">IFERROR(__xludf.DUMMYFUNCTION("GOOGLETRANSLATE(B1523,""auto"",""en"")"),"Health Food")</f>
        <v>Health Food</v>
      </c>
      <c r="I1523" s="3" t="str">
        <f ca="1">IFERROR(__xludf.DUMMYFUNCTION("GOOGLETRANSLATE(C1523,""auto"",""en"")"),"Probiotics")</f>
        <v>Probiotics</v>
      </c>
    </row>
    <row r="1524" spans="1:9" ht="13" x14ac:dyDescent="0.15">
      <c r="A1524" s="2" t="s">
        <v>1527</v>
      </c>
      <c r="B1524" s="2" t="s">
        <v>1539</v>
      </c>
      <c r="C1524" s="2" t="s">
        <v>1543</v>
      </c>
      <c r="D1524" s="3">
        <v>19176</v>
      </c>
      <c r="E1524" s="3">
        <v>3116</v>
      </c>
      <c r="F1524" s="3">
        <v>112</v>
      </c>
      <c r="G1524" s="3" t="s">
        <v>1530</v>
      </c>
      <c r="H1524" s="3" t="str">
        <f ca="1">IFERROR(__xludf.DUMMYFUNCTION("GOOGLETRANSLATE(B1524,""auto"",""en"")"),"Health Food")</f>
        <v>Health Food</v>
      </c>
      <c r="I1524" s="3" t="str">
        <f ca="1">IFERROR(__xludf.DUMMYFUNCTION("GOOGLETRANSLATE(C1524,""auto"",""en"")"),"Collagen")</f>
        <v>Collagen</v>
      </c>
    </row>
    <row r="1525" spans="1:9" ht="13" x14ac:dyDescent="0.15">
      <c r="A1525" s="2" t="s">
        <v>1527</v>
      </c>
      <c r="B1525" s="2" t="s">
        <v>1539</v>
      </c>
      <c r="C1525" s="2" t="s">
        <v>1544</v>
      </c>
      <c r="D1525" s="3">
        <v>19176</v>
      </c>
      <c r="E1525" s="3">
        <v>3116</v>
      </c>
      <c r="F1525" s="3">
        <v>89</v>
      </c>
      <c r="G1525" s="3" t="s">
        <v>1530</v>
      </c>
      <c r="H1525" s="3" t="str">
        <f ca="1">IFERROR(__xludf.DUMMYFUNCTION("GOOGLETRANSLATE(B1525,""auto"",""en"")"),"Health Food")</f>
        <v>Health Food</v>
      </c>
      <c r="I1525" s="3" t="str">
        <f ca="1">IFERROR(__xludf.DUMMYFUNCTION("GOOGLETRANSLATE(C1525,""auto"",""en"")"),"enzyme")</f>
        <v>enzyme</v>
      </c>
    </row>
    <row r="1526" spans="1:9" ht="13" x14ac:dyDescent="0.15">
      <c r="A1526" s="2" t="s">
        <v>1527</v>
      </c>
      <c r="B1526" s="2" t="s">
        <v>1539</v>
      </c>
      <c r="C1526" s="2" t="s">
        <v>1545</v>
      </c>
      <c r="D1526" s="3">
        <v>19176</v>
      </c>
      <c r="E1526" s="3">
        <v>3116</v>
      </c>
      <c r="F1526" s="3">
        <v>87</v>
      </c>
      <c r="G1526" s="3" t="s">
        <v>1530</v>
      </c>
      <c r="H1526" s="3" t="str">
        <f ca="1">IFERROR(__xludf.DUMMYFUNCTION("GOOGLETRANSLATE(B1526,""auto"",""en"")"),"Health Food")</f>
        <v>Health Food</v>
      </c>
      <c r="I1526" s="3" t="str">
        <f ca="1">IFERROR(__xludf.DUMMYFUNCTION("GOOGLETRANSLATE(C1526,""auto"",""en"")"),"Grape Seed")</f>
        <v>Grape Seed</v>
      </c>
    </row>
    <row r="1527" spans="1:9" ht="13" x14ac:dyDescent="0.15">
      <c r="A1527" s="2" t="s">
        <v>1527</v>
      </c>
      <c r="B1527" s="2" t="s">
        <v>1539</v>
      </c>
      <c r="C1527" s="2" t="s">
        <v>1537</v>
      </c>
      <c r="D1527" s="3">
        <v>19176</v>
      </c>
      <c r="E1527" s="3">
        <v>3116</v>
      </c>
      <c r="F1527" s="3">
        <v>77</v>
      </c>
      <c r="G1527" s="3" t="s">
        <v>1530</v>
      </c>
      <c r="H1527" s="3" t="str">
        <f ca="1">IFERROR(__xludf.DUMMYFUNCTION("GOOGLETRANSLATE(B1527,""auto"",""en"")"),"Health Food")</f>
        <v>Health Food</v>
      </c>
      <c r="I1527" s="3" t="str">
        <f ca="1">IFERROR(__xludf.DUMMYFUNCTION("GOOGLETRANSLATE(C1527,""auto"",""en"")"),"Colostrum")</f>
        <v>Colostrum</v>
      </c>
    </row>
    <row r="1528" spans="1:9" ht="13" x14ac:dyDescent="0.15">
      <c r="A1528" s="2" t="s">
        <v>1527</v>
      </c>
      <c r="B1528" s="2" t="s">
        <v>1539</v>
      </c>
      <c r="C1528" s="2" t="s">
        <v>1546</v>
      </c>
      <c r="D1528" s="3">
        <v>19176</v>
      </c>
      <c r="E1528" s="3">
        <v>3116</v>
      </c>
      <c r="F1528" s="3">
        <v>72</v>
      </c>
      <c r="G1528" s="3" t="s">
        <v>1530</v>
      </c>
      <c r="H1528" s="3" t="str">
        <f ca="1">IFERROR(__xludf.DUMMYFUNCTION("GOOGLETRANSLATE(B1528,""auto"",""en"")"),"Health Food")</f>
        <v>Health Food</v>
      </c>
      <c r="I1528" s="3" t="str">
        <f ca="1">IFERROR(__xludf.DUMMYFUNCTION("GOOGLETRANSLATE(C1528,""auto"",""en"")"),"Shakes / meal replacement powder")</f>
        <v>Shakes / meal replacement powder</v>
      </c>
    </row>
    <row r="1529" spans="1:9" ht="13" x14ac:dyDescent="0.15">
      <c r="A1529" s="2" t="s">
        <v>1527</v>
      </c>
      <c r="B1529" s="2" t="s">
        <v>1539</v>
      </c>
      <c r="C1529" s="2" t="s">
        <v>1547</v>
      </c>
      <c r="D1529" s="3">
        <v>19176</v>
      </c>
      <c r="E1529" s="3">
        <v>3116</v>
      </c>
      <c r="F1529" s="3">
        <v>51</v>
      </c>
      <c r="G1529" s="3" t="s">
        <v>1530</v>
      </c>
      <c r="H1529" s="3" t="str">
        <f ca="1">IFERROR(__xludf.DUMMYFUNCTION("GOOGLETRANSLATE(B1529,""auto"",""en"")"),"Health Food")</f>
        <v>Health Food</v>
      </c>
      <c r="I1529" s="3" t="str">
        <f ca="1">IFERROR(__xludf.DUMMYFUNCTION("GOOGLETRANSLATE(C1529,""auto"",""en"")"),"Milk Thistle")</f>
        <v>Milk Thistle</v>
      </c>
    </row>
    <row r="1530" spans="1:9" ht="13" x14ac:dyDescent="0.15">
      <c r="A1530" s="2" t="s">
        <v>1527</v>
      </c>
      <c r="B1530" s="2" t="s">
        <v>1539</v>
      </c>
      <c r="C1530" s="2" t="s">
        <v>1548</v>
      </c>
      <c r="D1530" s="3">
        <v>19176</v>
      </c>
      <c r="E1530" s="3">
        <v>3116</v>
      </c>
      <c r="F1530" s="3">
        <v>46</v>
      </c>
      <c r="G1530" s="3" t="s">
        <v>1530</v>
      </c>
      <c r="H1530" s="3" t="str">
        <f ca="1">IFERROR(__xludf.DUMMYFUNCTION("GOOGLETRANSLATE(B1530,""auto"",""en"")"),"Health Food")</f>
        <v>Health Food</v>
      </c>
      <c r="I1530" s="3" t="str">
        <f ca="1">IFERROR(__xludf.DUMMYFUNCTION("GOOGLETRANSLATE(C1530,""auto"",""en"")"),"Soy isoflavones")</f>
        <v>Soy isoflavones</v>
      </c>
    </row>
    <row r="1531" spans="1:9" ht="13" x14ac:dyDescent="0.15">
      <c r="A1531" s="2" t="s">
        <v>1527</v>
      </c>
      <c r="B1531" s="2" t="s">
        <v>1539</v>
      </c>
      <c r="C1531" s="2" t="s">
        <v>1549</v>
      </c>
      <c r="D1531" s="3">
        <v>19176</v>
      </c>
      <c r="E1531" s="3">
        <v>3116</v>
      </c>
      <c r="F1531" s="3">
        <v>34</v>
      </c>
      <c r="G1531" s="3" t="s">
        <v>1530</v>
      </c>
      <c r="H1531" s="3" t="str">
        <f ca="1">IFERROR(__xludf.DUMMYFUNCTION("GOOGLETRANSLATE(B1531,""auto"",""en"")"),"Health Food")</f>
        <v>Health Food</v>
      </c>
      <c r="I1531" s="3" t="str">
        <f ca="1">IFERROR(__xludf.DUMMYFUNCTION("GOOGLETRANSLATE(C1531,""auto"",""en"")"),"Protein / amino acids")</f>
        <v>Protein / amino acids</v>
      </c>
    </row>
    <row r="1532" spans="1:9" ht="13" x14ac:dyDescent="0.15">
      <c r="A1532" s="2" t="s">
        <v>1527</v>
      </c>
      <c r="B1532" s="2" t="s">
        <v>1539</v>
      </c>
      <c r="C1532" s="2" t="s">
        <v>1550</v>
      </c>
      <c r="D1532" s="3">
        <v>19176</v>
      </c>
      <c r="E1532" s="3">
        <v>3116</v>
      </c>
      <c r="F1532" s="3">
        <v>24</v>
      </c>
      <c r="G1532" s="3" t="s">
        <v>1530</v>
      </c>
      <c r="H1532" s="3" t="str">
        <f ca="1">IFERROR(__xludf.DUMMYFUNCTION("GOOGLETRANSLATE(B1532,""auto"",""en"")"),"Health Food")</f>
        <v>Health Food</v>
      </c>
      <c r="I1532" s="3" t="str">
        <f ca="1">IFERROR(__xludf.DUMMYFUNCTION("GOOGLETRANSLATE(C1532,""auto"",""en"")"),"Green juice")</f>
        <v>Green juice</v>
      </c>
    </row>
    <row r="1533" spans="1:9" ht="13" x14ac:dyDescent="0.15">
      <c r="A1533" s="2" t="s">
        <v>1527</v>
      </c>
      <c r="B1533" s="2" t="s">
        <v>1539</v>
      </c>
      <c r="C1533" s="2" t="s">
        <v>1551</v>
      </c>
      <c r="D1533" s="3">
        <v>19176</v>
      </c>
      <c r="E1533" s="3">
        <v>3116</v>
      </c>
      <c r="F1533" s="3">
        <v>14</v>
      </c>
      <c r="G1533" s="3" t="s">
        <v>1530</v>
      </c>
      <c r="H1533" s="3" t="str">
        <f ca="1">IFERROR(__xludf.DUMMYFUNCTION("GOOGLETRANSLATE(B1533,""auto"",""en"")"),"Health Food")</f>
        <v>Health Food</v>
      </c>
      <c r="I1533" s="3" t="str">
        <f ca="1">IFERROR(__xludf.DUMMYFUNCTION("GOOGLETRANSLATE(C1533,""auto"",""en"")"),"Blue ADM / lutein")</f>
        <v>Blue ADM / lutein</v>
      </c>
    </row>
    <row r="1534" spans="1:9" ht="13" x14ac:dyDescent="0.15">
      <c r="A1534" s="2" t="s">
        <v>1527</v>
      </c>
      <c r="B1534" s="2" t="s">
        <v>1539</v>
      </c>
      <c r="C1534" s="2" t="s">
        <v>1552</v>
      </c>
      <c r="D1534" s="3">
        <v>19176</v>
      </c>
      <c r="E1534" s="3">
        <v>3116</v>
      </c>
      <c r="F1534" s="3">
        <v>12</v>
      </c>
      <c r="G1534" s="3" t="s">
        <v>1530</v>
      </c>
      <c r="H1534" s="3" t="str">
        <f ca="1">IFERROR(__xludf.DUMMYFUNCTION("GOOGLETRANSLATE(B1534,""auto"",""en"")"),"Health Food")</f>
        <v>Health Food</v>
      </c>
      <c r="I1534" s="3" t="str">
        <f ca="1">IFERROR(__xludf.DUMMYFUNCTION("GOOGLETRANSLATE(C1534,""auto"",""en"")"),"Dietary fiber")</f>
        <v>Dietary fiber</v>
      </c>
    </row>
    <row r="1535" spans="1:9" ht="13" x14ac:dyDescent="0.15">
      <c r="A1535" s="2" t="s">
        <v>1527</v>
      </c>
      <c r="B1535" s="2" t="s">
        <v>1539</v>
      </c>
      <c r="C1535" s="2" t="s">
        <v>1553</v>
      </c>
      <c r="D1535" s="3">
        <v>19176</v>
      </c>
      <c r="E1535" s="3">
        <v>3116</v>
      </c>
      <c r="F1535" s="3">
        <v>11</v>
      </c>
      <c r="G1535" s="3" t="s">
        <v>1530</v>
      </c>
      <c r="H1535" s="3" t="str">
        <f ca="1">IFERROR(__xludf.DUMMYFUNCTION("GOOGLETRANSLATE(B1535,""auto"",""en"")"),"Health Food")</f>
        <v>Health Food</v>
      </c>
      <c r="I1535" s="3" t="str">
        <f ca="1">IFERROR(__xludf.DUMMYFUNCTION("GOOGLETRANSLATE(C1535,""auto"",""en"")"),"Evening Primrose")</f>
        <v>Evening Primrose</v>
      </c>
    </row>
    <row r="1536" spans="1:9" ht="13" x14ac:dyDescent="0.15">
      <c r="A1536" s="2" t="s">
        <v>1527</v>
      </c>
      <c r="B1536" s="2" t="s">
        <v>1539</v>
      </c>
      <c r="C1536" s="3" t="s">
        <v>1554</v>
      </c>
      <c r="D1536" s="3">
        <v>19176</v>
      </c>
      <c r="E1536" s="3">
        <v>3116</v>
      </c>
      <c r="F1536" s="3">
        <v>8</v>
      </c>
      <c r="G1536" s="3" t="s">
        <v>1530</v>
      </c>
      <c r="H1536" s="3" t="str">
        <f ca="1">IFERROR(__xludf.DUMMYFUNCTION("GOOGLETRANSLATE(B1536,""auto"",""en"")"),"Health Food")</f>
        <v>Health Food</v>
      </c>
      <c r="I1536" s="3" t="str">
        <f ca="1">IFERROR(__xludf.DUMMYFUNCTION("GOOGLETRANSLATE(C1536,""auto"",""en"")"),"Coenzyme Q10")</f>
        <v>Coenzyme Q10</v>
      </c>
    </row>
    <row r="1537" spans="1:9" ht="13" x14ac:dyDescent="0.15">
      <c r="A1537" s="2" t="s">
        <v>1527</v>
      </c>
      <c r="B1537" s="2" t="s">
        <v>1539</v>
      </c>
      <c r="C1537" s="2" t="s">
        <v>1555</v>
      </c>
      <c r="D1537" s="3">
        <v>19176</v>
      </c>
      <c r="E1537" s="3">
        <v>3116</v>
      </c>
      <c r="F1537" s="3">
        <v>8</v>
      </c>
      <c r="G1537" s="3" t="s">
        <v>1530</v>
      </c>
      <c r="H1537" s="3" t="str">
        <f ca="1">IFERROR(__xludf.DUMMYFUNCTION("GOOGLETRANSLATE(B1537,""auto"",""en"")"),"Health Food")</f>
        <v>Health Food</v>
      </c>
      <c r="I1537" s="3" t="str">
        <f ca="1">IFERROR(__xludf.DUMMYFUNCTION("GOOGLETRANSLATE(C1537,""auto"",""en"")"),"Maca")</f>
        <v>Maca</v>
      </c>
    </row>
    <row r="1538" spans="1:9" ht="13" x14ac:dyDescent="0.15">
      <c r="A1538" s="2" t="s">
        <v>1527</v>
      </c>
      <c r="B1538" s="2" t="s">
        <v>1539</v>
      </c>
      <c r="C1538" s="2" t="s">
        <v>1149</v>
      </c>
      <c r="D1538" s="3">
        <v>19176</v>
      </c>
      <c r="E1538" s="3">
        <v>3116</v>
      </c>
      <c r="F1538" s="3">
        <v>7</v>
      </c>
      <c r="G1538" s="3" t="s">
        <v>1530</v>
      </c>
      <c r="H1538" s="3" t="str">
        <f ca="1">IFERROR(__xludf.DUMMYFUNCTION("GOOGLETRANSLATE(B1538,""auto"",""en"")"),"Health Food")</f>
        <v>Health Food</v>
      </c>
      <c r="I1538" s="3" t="str">
        <f ca="1">IFERROR(__xludf.DUMMYFUNCTION("GOOGLETRANSLATE(C1538,""auto"",""en"")"),"Walnut oil")</f>
        <v>Walnut oil</v>
      </c>
    </row>
    <row r="1539" spans="1:9" ht="13" x14ac:dyDescent="0.15">
      <c r="A1539" s="2" t="s">
        <v>1527</v>
      </c>
      <c r="B1539" s="2" t="s">
        <v>1539</v>
      </c>
      <c r="C1539" s="2" t="s">
        <v>1556</v>
      </c>
      <c r="D1539" s="3">
        <v>19176</v>
      </c>
      <c r="E1539" s="3">
        <v>3116</v>
      </c>
      <c r="F1539" s="3">
        <v>6</v>
      </c>
      <c r="G1539" s="3" t="s">
        <v>1530</v>
      </c>
      <c r="H1539" s="3" t="str">
        <f ca="1">IFERROR(__xludf.DUMMYFUNCTION("GOOGLETRANSLATE(B1539,""auto"",""en"")"),"Health Food")</f>
        <v>Health Food</v>
      </c>
      <c r="I1539" s="3" t="str">
        <f ca="1">IFERROR(__xludf.DUMMYFUNCTION("GOOGLETRANSLATE(C1539,""auto"",""en"")"),"Lycopene")</f>
        <v>Lycopene</v>
      </c>
    </row>
    <row r="1540" spans="1:9" ht="13" x14ac:dyDescent="0.15">
      <c r="A1540" s="2" t="s">
        <v>1527</v>
      </c>
      <c r="B1540" s="2" t="s">
        <v>1539</v>
      </c>
      <c r="C1540" s="2" t="s">
        <v>1557</v>
      </c>
      <c r="D1540" s="3">
        <v>19176</v>
      </c>
      <c r="E1540" s="3">
        <v>3116</v>
      </c>
      <c r="F1540" s="3">
        <v>4</v>
      </c>
      <c r="G1540" s="3" t="s">
        <v>1530</v>
      </c>
      <c r="H1540" s="3" t="str">
        <f ca="1">IFERROR(__xludf.DUMMYFUNCTION("GOOGLETRANSLATE(B1540,""auto"",""en"")"),"Health Food")</f>
        <v>Health Food</v>
      </c>
      <c r="I1540" s="3" t="str">
        <f ca="1">IFERROR(__xludf.DUMMYFUNCTION("GOOGLETRANSLATE(C1540,""auto"",""en"")"),"protein powder")</f>
        <v>protein powder</v>
      </c>
    </row>
    <row r="1541" spans="1:9" ht="13" x14ac:dyDescent="0.15">
      <c r="A1541" s="2" t="s">
        <v>1527</v>
      </c>
      <c r="B1541" s="2" t="s">
        <v>1539</v>
      </c>
      <c r="C1541" s="2" t="s">
        <v>1558</v>
      </c>
      <c r="D1541" s="3">
        <v>19176</v>
      </c>
      <c r="E1541" s="3">
        <v>3116</v>
      </c>
      <c r="F1541" s="3">
        <v>4</v>
      </c>
      <c r="G1541" s="3" t="s">
        <v>1530</v>
      </c>
      <c r="H1541" s="3" t="str">
        <f ca="1">IFERROR(__xludf.DUMMYFUNCTION("GOOGLETRANSLATE(B1541,""auto"",""en"")"),"Health Food")</f>
        <v>Health Food</v>
      </c>
      <c r="I1541" s="3" t="str">
        <f ca="1">IFERROR(__xludf.DUMMYFUNCTION("GOOGLETRANSLATE(C1541,""auto"",""en"")"),"Spirulina")</f>
        <v>Spirulina</v>
      </c>
    </row>
    <row r="1542" spans="1:9" ht="13" x14ac:dyDescent="0.15">
      <c r="A1542" s="2" t="s">
        <v>1527</v>
      </c>
      <c r="B1542" s="2" t="s">
        <v>1539</v>
      </c>
      <c r="C1542" s="2" t="s">
        <v>1559</v>
      </c>
      <c r="D1542" s="3">
        <v>19176</v>
      </c>
      <c r="E1542" s="3">
        <v>3116</v>
      </c>
      <c r="F1542" s="3">
        <v>4</v>
      </c>
      <c r="G1542" s="3" t="s">
        <v>1530</v>
      </c>
      <c r="H1542" s="3" t="str">
        <f ca="1">IFERROR(__xludf.DUMMYFUNCTION("GOOGLETRANSLATE(B1542,""auto"",""en"")"),"Health Food")</f>
        <v>Health Food</v>
      </c>
      <c r="I1542" s="3" t="str">
        <f ca="1">IFERROR(__xludf.DUMMYFUNCTION("GOOGLETRANSLATE(C1542,""auto"",""en"")"),"Chasteberry")</f>
        <v>Chasteberry</v>
      </c>
    </row>
    <row r="1543" spans="1:9" ht="13" x14ac:dyDescent="0.15">
      <c r="A1543" s="2" t="s">
        <v>1527</v>
      </c>
      <c r="B1543" s="2" t="s">
        <v>1539</v>
      </c>
      <c r="C1543" s="2" t="s">
        <v>1560</v>
      </c>
      <c r="D1543" s="3">
        <v>19176</v>
      </c>
      <c r="E1543" s="3">
        <v>3116</v>
      </c>
      <c r="F1543" s="3">
        <v>3</v>
      </c>
      <c r="G1543" s="3" t="s">
        <v>1530</v>
      </c>
      <c r="H1543" s="3" t="str">
        <f ca="1">IFERROR(__xludf.DUMMYFUNCTION("GOOGLETRANSLATE(B1543,""auto"",""en"")"),"Health Food")</f>
        <v>Health Food</v>
      </c>
      <c r="I1543" s="3" t="str">
        <f ca="1">IFERROR(__xludf.DUMMYFUNCTION("GOOGLETRANSLATE(C1543,""auto"",""en"")"),"Garlic extract")</f>
        <v>Garlic extract</v>
      </c>
    </row>
    <row r="1544" spans="1:9" ht="13" x14ac:dyDescent="0.15">
      <c r="A1544" s="2" t="s">
        <v>1527</v>
      </c>
      <c r="B1544" s="2" t="s">
        <v>1539</v>
      </c>
      <c r="C1544" s="2" t="s">
        <v>1561</v>
      </c>
      <c r="D1544" s="3">
        <v>19176</v>
      </c>
      <c r="E1544" s="3">
        <v>3116</v>
      </c>
      <c r="F1544" s="3">
        <v>2</v>
      </c>
      <c r="G1544" s="3" t="s">
        <v>1530</v>
      </c>
      <c r="H1544" s="3" t="str">
        <f ca="1">IFERROR(__xludf.DUMMYFUNCTION("GOOGLETRANSLATE(B1544,""auto"",""en"")"),"Health Food")</f>
        <v>Health Food</v>
      </c>
      <c r="I1544" s="3" t="str">
        <f ca="1">IFERROR(__xludf.DUMMYFUNCTION("GOOGLETRANSLATE(C1544,""auto"",""en"")"),"Ginkgo biloba extract")</f>
        <v>Ginkgo biloba extract</v>
      </c>
    </row>
    <row r="1545" spans="1:9" ht="13" x14ac:dyDescent="0.15">
      <c r="A1545" s="2" t="s">
        <v>1527</v>
      </c>
      <c r="B1545" s="2" t="s">
        <v>1562</v>
      </c>
      <c r="C1545" s="2" t="s">
        <v>1562</v>
      </c>
      <c r="D1545" s="3">
        <v>19176</v>
      </c>
      <c r="E1545" s="3">
        <v>1256</v>
      </c>
      <c r="F1545" s="3">
        <v>1256</v>
      </c>
      <c r="G1545" s="3" t="s">
        <v>1530</v>
      </c>
      <c r="H1545" s="3" t="str">
        <f ca="1">IFERROR(__xludf.DUMMYFUNCTION("GOOGLETRANSLATE(B1545,""auto"",""en"")"),"Health food (to be migrated)")</f>
        <v>Health food (to be migrated)</v>
      </c>
      <c r="I1545" s="3" t="str">
        <f ca="1">IFERROR(__xludf.DUMMYFUNCTION("GOOGLETRANSLATE(C1545,""auto"",""en"")"),"Health food (to be migrated)")</f>
        <v>Health food (to be migrated)</v>
      </c>
    </row>
    <row r="1546" spans="1:9" ht="13" x14ac:dyDescent="0.15">
      <c r="A1546" s="2" t="s">
        <v>1527</v>
      </c>
      <c r="B1546" s="2" t="s">
        <v>1563</v>
      </c>
      <c r="C1546" s="2" t="s">
        <v>1564</v>
      </c>
      <c r="D1546" s="3">
        <v>19176</v>
      </c>
      <c r="E1546" s="3">
        <v>1180</v>
      </c>
      <c r="F1546" s="3">
        <v>454</v>
      </c>
      <c r="G1546" s="3" t="s">
        <v>1530</v>
      </c>
      <c r="H1546" s="3" t="str">
        <f ca="1">IFERROR(__xludf.DUMMYFUNCTION("GOOGLETRANSLATE(B1546,""auto"",""en"")"),"Traditional nourishing food")</f>
        <v>Traditional nourishing food</v>
      </c>
      <c r="I1546" s="3" t="str">
        <f ca="1">IFERROR(__xludf.DUMMYFUNCTION("GOOGLETRANSLATE(C1546,""auto"",""en"")"),"Other nourishing food")</f>
        <v>Other nourishing food</v>
      </c>
    </row>
    <row r="1547" spans="1:9" ht="13" x14ac:dyDescent="0.15">
      <c r="A1547" s="2" t="s">
        <v>1527</v>
      </c>
      <c r="B1547" s="2" t="s">
        <v>1563</v>
      </c>
      <c r="C1547" s="2" t="s">
        <v>1565</v>
      </c>
      <c r="D1547" s="3">
        <v>19176</v>
      </c>
      <c r="E1547" s="3">
        <v>1180</v>
      </c>
      <c r="F1547" s="3">
        <v>380</v>
      </c>
      <c r="G1547" s="3" t="s">
        <v>1530</v>
      </c>
      <c r="H1547" s="3" t="str">
        <f ca="1">IFERROR(__xludf.DUMMYFUNCTION("GOOGLETRANSLATE(B1547,""auto"",""en"")"),"Traditional nourishing food")</f>
        <v>Traditional nourishing food</v>
      </c>
      <c r="I1547" s="3" t="str">
        <f ca="1">IFERROR(__xludf.DUMMYFUNCTION("GOOGLETRANSLATE(C1547,""auto"",""en"")"),"Donkey-hide gelatin")</f>
        <v>Donkey-hide gelatin</v>
      </c>
    </row>
    <row r="1548" spans="1:9" ht="13" x14ac:dyDescent="0.15">
      <c r="A1548" s="2" t="s">
        <v>1527</v>
      </c>
      <c r="B1548" s="2" t="s">
        <v>1563</v>
      </c>
      <c r="C1548" s="2" t="s">
        <v>1566</v>
      </c>
      <c r="D1548" s="3">
        <v>19176</v>
      </c>
      <c r="E1548" s="3">
        <v>1180</v>
      </c>
      <c r="F1548" s="3">
        <v>122</v>
      </c>
      <c r="G1548" s="3" t="s">
        <v>1530</v>
      </c>
      <c r="H1548" s="3" t="str">
        <f ca="1">IFERROR(__xludf.DUMMYFUNCTION("GOOGLETRANSLATE(B1548,""auto"",""en"")"),"Traditional nourishing food")</f>
        <v>Traditional nourishing food</v>
      </c>
      <c r="I1548" s="3" t="str">
        <f ca="1">IFERROR(__xludf.DUMMYFUNCTION("GOOGLETRANSLATE(C1548,""auto"",""en"")"),"Wolfberry")</f>
        <v>Wolfberry</v>
      </c>
    </row>
    <row r="1549" spans="1:9" ht="13" x14ac:dyDescent="0.15">
      <c r="A1549" s="2" t="s">
        <v>1527</v>
      </c>
      <c r="B1549" s="2" t="s">
        <v>1563</v>
      </c>
      <c r="C1549" s="2" t="s">
        <v>1567</v>
      </c>
      <c r="D1549" s="3">
        <v>19176</v>
      </c>
      <c r="E1549" s="3">
        <v>1180</v>
      </c>
      <c r="F1549" s="3">
        <v>97</v>
      </c>
      <c r="G1549" s="3" t="s">
        <v>1530</v>
      </c>
      <c r="H1549" s="3" t="str">
        <f ca="1">IFERROR(__xludf.DUMMYFUNCTION("GOOGLETRANSLATE(B1549,""auto"",""en"")"),"Traditional nourishing food")</f>
        <v>Traditional nourishing food</v>
      </c>
      <c r="I1549" s="3" t="str">
        <f ca="1">IFERROR(__xludf.DUMMYFUNCTION("GOOGLETRANSLATE(C1549,""auto"",""en"")"),"honey")</f>
        <v>honey</v>
      </c>
    </row>
    <row r="1550" spans="1:9" ht="13" x14ac:dyDescent="0.15">
      <c r="A1550" s="2" t="s">
        <v>1527</v>
      </c>
      <c r="B1550" s="2" t="s">
        <v>1563</v>
      </c>
      <c r="C1550" s="2" t="s">
        <v>1568</v>
      </c>
      <c r="D1550" s="3">
        <v>19176</v>
      </c>
      <c r="E1550" s="3">
        <v>1180</v>
      </c>
      <c r="F1550" s="3">
        <v>46</v>
      </c>
      <c r="G1550" s="3" t="s">
        <v>1530</v>
      </c>
      <c r="H1550" s="3" t="str">
        <f ca="1">IFERROR(__xludf.DUMMYFUNCTION("GOOGLETRANSLATE(B1550,""auto"",""en"")"),"Traditional nourishing food")</f>
        <v>Traditional nourishing food</v>
      </c>
      <c r="I1550" s="3" t="str">
        <f ca="1">IFERROR(__xludf.DUMMYFUNCTION("GOOGLETRANSLATE(C1550,""auto"",""en"")"),"Bee")</f>
        <v>Bee</v>
      </c>
    </row>
    <row r="1551" spans="1:9" ht="13" x14ac:dyDescent="0.15">
      <c r="A1551" s="2" t="s">
        <v>1527</v>
      </c>
      <c r="B1551" s="2" t="s">
        <v>1563</v>
      </c>
      <c r="C1551" s="2" t="s">
        <v>1569</v>
      </c>
      <c r="D1551" s="3">
        <v>19176</v>
      </c>
      <c r="E1551" s="3">
        <v>1180</v>
      </c>
      <c r="F1551" s="3">
        <v>29</v>
      </c>
      <c r="G1551" s="3" t="s">
        <v>1530</v>
      </c>
      <c r="H1551" s="3" t="str">
        <f ca="1">IFERROR(__xludf.DUMMYFUNCTION("GOOGLETRANSLATE(B1551,""auto"",""en"")"),"Traditional nourishing food")</f>
        <v>Traditional nourishing food</v>
      </c>
      <c r="I1551" s="3" t="str">
        <f ca="1">IFERROR(__xludf.DUMMYFUNCTION("GOOGLETRANSLATE(C1551,""auto"",""en"")"),"Health tea")</f>
        <v>Health tea</v>
      </c>
    </row>
    <row r="1552" spans="1:9" ht="13" x14ac:dyDescent="0.15">
      <c r="A1552" s="2" t="s">
        <v>1527</v>
      </c>
      <c r="B1552" s="2" t="s">
        <v>1563</v>
      </c>
      <c r="C1552" s="2" t="s">
        <v>1570</v>
      </c>
      <c r="D1552" s="3">
        <v>19176</v>
      </c>
      <c r="E1552" s="3">
        <v>1180</v>
      </c>
      <c r="F1552" s="3">
        <v>27</v>
      </c>
      <c r="G1552" s="3" t="s">
        <v>1530</v>
      </c>
      <c r="H1552" s="3" t="str">
        <f ca="1">IFERROR(__xludf.DUMMYFUNCTION("GOOGLETRANSLATE(B1552,""auto"",""en"")"),"Traditional nourishing food")</f>
        <v>Traditional nourishing food</v>
      </c>
      <c r="I1552" s="3" t="str">
        <f ca="1">IFERROR(__xludf.DUMMYFUNCTION("GOOGLETRANSLATE(C1552,""auto"",""en"")"),"Ginseng")</f>
        <v>Ginseng</v>
      </c>
    </row>
    <row r="1553" spans="1:9" ht="13" x14ac:dyDescent="0.15">
      <c r="A1553" s="2" t="s">
        <v>1527</v>
      </c>
      <c r="B1553" s="2" t="s">
        <v>1563</v>
      </c>
      <c r="C1553" s="2" t="s">
        <v>92</v>
      </c>
      <c r="D1553" s="3">
        <v>19176</v>
      </c>
      <c r="E1553" s="3">
        <v>1180</v>
      </c>
      <c r="F1553" s="3">
        <v>16</v>
      </c>
      <c r="G1553" s="3" t="s">
        <v>1530</v>
      </c>
      <c r="H1553" s="3" t="str">
        <f ca="1">IFERROR(__xludf.DUMMYFUNCTION("GOOGLETRANSLATE(B1553,""auto"",""en"")"),"Traditional nourishing food")</f>
        <v>Traditional nourishing food</v>
      </c>
      <c r="I1553" s="3" t="str">
        <f ca="1">IFERROR(__xludf.DUMMYFUNCTION("GOOGLETRANSLATE(C1553,""auto"",""en"")"),"other")</f>
        <v>other</v>
      </c>
    </row>
    <row r="1554" spans="1:9" ht="13" x14ac:dyDescent="0.15">
      <c r="A1554" s="2" t="s">
        <v>1527</v>
      </c>
      <c r="B1554" s="2" t="s">
        <v>1563</v>
      </c>
      <c r="C1554" s="2" t="s">
        <v>1571</v>
      </c>
      <c r="D1554" s="3">
        <v>19176</v>
      </c>
      <c r="E1554" s="3">
        <v>1180</v>
      </c>
      <c r="F1554" s="3">
        <v>5</v>
      </c>
      <c r="G1554" s="3" t="s">
        <v>1530</v>
      </c>
      <c r="H1554" s="3" t="str">
        <f ca="1">IFERROR(__xludf.DUMMYFUNCTION("GOOGLETRANSLATE(B1554,""auto"",""en"")"),"Traditional nourishing food")</f>
        <v>Traditional nourishing food</v>
      </c>
      <c r="I1554" s="3" t="str">
        <f ca="1">IFERROR(__xludf.DUMMYFUNCTION("GOOGLETRANSLATE(C1554,""auto"",""en"")"),"Bird's nest")</f>
        <v>Bird's nest</v>
      </c>
    </row>
    <row r="1555" spans="1:9" ht="13" x14ac:dyDescent="0.15">
      <c r="A1555" s="2" t="s">
        <v>1527</v>
      </c>
      <c r="B1555" s="2" t="s">
        <v>1563</v>
      </c>
      <c r="C1555" s="2" t="s">
        <v>1572</v>
      </c>
      <c r="D1555" s="3">
        <v>19176</v>
      </c>
      <c r="E1555" s="3">
        <v>1180</v>
      </c>
      <c r="F1555" s="3">
        <v>2</v>
      </c>
      <c r="G1555" s="3" t="s">
        <v>1530</v>
      </c>
      <c r="H1555" s="3" t="str">
        <f ca="1">IFERROR(__xludf.DUMMYFUNCTION("GOOGLETRANSLATE(B1555,""auto"",""en"")"),"Traditional nourishing food")</f>
        <v>Traditional nourishing food</v>
      </c>
      <c r="I1555" s="3" t="str">
        <f ca="1">IFERROR(__xludf.DUMMYFUNCTION("GOOGLETRANSLATE(C1555,""auto"",""en"")"),"Ganoderma")</f>
        <v>Ganoderma</v>
      </c>
    </row>
    <row r="1556" spans="1:9" ht="13" x14ac:dyDescent="0.15">
      <c r="A1556" s="2" t="s">
        <v>1527</v>
      </c>
      <c r="B1556" s="2" t="s">
        <v>1563</v>
      </c>
      <c r="C1556" s="2" t="s">
        <v>1573</v>
      </c>
      <c r="D1556" s="3">
        <v>19176</v>
      </c>
      <c r="E1556" s="3">
        <v>1180</v>
      </c>
      <c r="F1556" s="3">
        <v>1</v>
      </c>
      <c r="G1556" s="3" t="s">
        <v>1530</v>
      </c>
      <c r="H1556" s="3" t="str">
        <f ca="1">IFERROR(__xludf.DUMMYFUNCTION("GOOGLETRANSLATE(B1556,""auto"",""en"")"),"Traditional nourishing food")</f>
        <v>Traditional nourishing food</v>
      </c>
      <c r="I1556" s="3" t="str">
        <f ca="1">IFERROR(__xludf.DUMMYFUNCTION("GOOGLETRANSLATE(C1556,""auto"",""en"")"),"Hashima")</f>
        <v>Hashima</v>
      </c>
    </row>
    <row r="1557" spans="1:9" ht="13" x14ac:dyDescent="0.15">
      <c r="A1557" s="2" t="s">
        <v>1527</v>
      </c>
      <c r="B1557" s="2" t="s">
        <v>1563</v>
      </c>
      <c r="C1557" s="2" t="s">
        <v>1574</v>
      </c>
      <c r="D1557" s="3">
        <v>19176</v>
      </c>
      <c r="E1557" s="3">
        <v>1180</v>
      </c>
      <c r="F1557" s="3">
        <v>1</v>
      </c>
      <c r="G1557" s="3" t="s">
        <v>1530</v>
      </c>
      <c r="H1557" s="3" t="str">
        <f ca="1">IFERROR(__xludf.DUMMYFUNCTION("GOOGLETRANSLATE(B1557,""auto"",""en"")"),"Traditional nourishing food")</f>
        <v>Traditional nourishing food</v>
      </c>
      <c r="I1557" s="3" t="str">
        <f ca="1">IFERROR(__xludf.DUMMYFUNCTION("GOOGLETRANSLATE(C1557,""auto"",""en"")"),"lily")</f>
        <v>lily</v>
      </c>
    </row>
    <row r="1558" spans="1:9" ht="13" x14ac:dyDescent="0.15">
      <c r="A1558" s="2" t="s">
        <v>1527</v>
      </c>
      <c r="B1558" s="2" t="s">
        <v>1575</v>
      </c>
      <c r="C1558" s="2" t="s">
        <v>1576</v>
      </c>
      <c r="D1558" s="3">
        <v>19176</v>
      </c>
      <c r="E1558" s="3">
        <v>869</v>
      </c>
      <c r="F1558" s="3">
        <v>234</v>
      </c>
      <c r="G1558" s="3" t="s">
        <v>1530</v>
      </c>
      <c r="H1558" s="3" t="str">
        <f ca="1">IFERROR(__xludf.DUMMYFUNCTION("GOOGLETRANSLATE(B1558,""auto"",""en"")"),"Maternal nutrition")</f>
        <v>Maternal nutrition</v>
      </c>
      <c r="I1558" s="3" t="str">
        <f ca="1">IFERROR(__xludf.DUMMYFUNCTION("GOOGLETRANSLATE(C1558,""auto"",""en"")"),"Maternal DHA")</f>
        <v>Maternal DHA</v>
      </c>
    </row>
    <row r="1559" spans="1:9" ht="13" x14ac:dyDescent="0.15">
      <c r="A1559" s="2" t="s">
        <v>1527</v>
      </c>
      <c r="B1559" s="2" t="s">
        <v>1575</v>
      </c>
      <c r="C1559" s="2" t="s">
        <v>1577</v>
      </c>
      <c r="D1559" s="3">
        <v>19176</v>
      </c>
      <c r="E1559" s="3">
        <v>869</v>
      </c>
      <c r="F1559" s="3">
        <v>214</v>
      </c>
      <c r="G1559" s="3" t="s">
        <v>1530</v>
      </c>
      <c r="H1559" s="3" t="str">
        <f ca="1">IFERROR(__xludf.DUMMYFUNCTION("GOOGLETRANSLATE(B1559,""auto"",""en"")"),"Maternal nutrition")</f>
        <v>Maternal nutrition</v>
      </c>
      <c r="I1559" s="3" t="str">
        <f ca="1">IFERROR(__xludf.DUMMYFUNCTION("GOOGLETRANSLATE(C1559,""auto"",""en"")"),"Maternal nutrition supplements")</f>
        <v>Maternal nutrition supplements</v>
      </c>
    </row>
    <row r="1560" spans="1:9" ht="13" x14ac:dyDescent="0.15">
      <c r="A1560" s="2" t="s">
        <v>1527</v>
      </c>
      <c r="B1560" s="2" t="s">
        <v>1575</v>
      </c>
      <c r="C1560" s="2" t="s">
        <v>1578</v>
      </c>
      <c r="D1560" s="3">
        <v>19176</v>
      </c>
      <c r="E1560" s="3">
        <v>869</v>
      </c>
      <c r="F1560" s="3">
        <v>130</v>
      </c>
      <c r="G1560" s="3" t="s">
        <v>1530</v>
      </c>
      <c r="H1560" s="3" t="str">
        <f ca="1">IFERROR(__xludf.DUMMYFUNCTION("GOOGLETRANSLATE(B1560,""auto"",""en"")"),"Maternal nutrition")</f>
        <v>Maternal nutrition</v>
      </c>
      <c r="I1560" s="3" t="str">
        <f ca="1">IFERROR(__xludf.DUMMYFUNCTION("GOOGLETRANSLATE(C1560,""auto"",""en"")"),"Maternal folic acid")</f>
        <v>Maternal folic acid</v>
      </c>
    </row>
    <row r="1561" spans="1:9" ht="13" x14ac:dyDescent="0.15">
      <c r="A1561" s="2" t="s">
        <v>1527</v>
      </c>
      <c r="B1561" s="2" t="s">
        <v>1575</v>
      </c>
      <c r="C1561" s="2" t="s">
        <v>1579</v>
      </c>
      <c r="D1561" s="3">
        <v>19176</v>
      </c>
      <c r="E1561" s="3">
        <v>869</v>
      </c>
      <c r="F1561" s="3">
        <v>118</v>
      </c>
      <c r="G1561" s="3" t="s">
        <v>1530</v>
      </c>
      <c r="H1561" s="3" t="str">
        <f ca="1">IFERROR(__xludf.DUMMYFUNCTION("GOOGLETRANSLATE(B1561,""auto"",""en"")"),"Maternal nutrition")</f>
        <v>Maternal nutrition</v>
      </c>
      <c r="I1561" s="3" t="str">
        <f ca="1">IFERROR(__xludf.DUMMYFUNCTION("GOOGLETRANSLATE(C1561,""auto"",""en"")"),"Calcium Iron zinc Maternal")</f>
        <v>Calcium Iron zinc Maternal</v>
      </c>
    </row>
    <row r="1562" spans="1:9" ht="13" x14ac:dyDescent="0.15">
      <c r="A1562" s="2" t="s">
        <v>1527</v>
      </c>
      <c r="B1562" s="2" t="s">
        <v>1575</v>
      </c>
      <c r="C1562" s="2" t="s">
        <v>1580</v>
      </c>
      <c r="D1562" s="3">
        <v>19176</v>
      </c>
      <c r="E1562" s="3">
        <v>869</v>
      </c>
      <c r="F1562" s="3">
        <v>74</v>
      </c>
      <c r="G1562" s="3" t="s">
        <v>1530</v>
      </c>
      <c r="H1562" s="3" t="str">
        <f ca="1">IFERROR(__xludf.DUMMYFUNCTION("GOOGLETRANSLATE(B1562,""auto"",""en"")"),"Maternal nutrition")</f>
        <v>Maternal nutrition</v>
      </c>
      <c r="I1562" s="3" t="str">
        <f ca="1">IFERROR(__xludf.DUMMYFUNCTION("GOOGLETRANSLATE(C1562,""auto"",""en"")"),"Maternal vitamin")</f>
        <v>Maternal vitamin</v>
      </c>
    </row>
    <row r="1563" spans="1:9" ht="13" x14ac:dyDescent="0.15">
      <c r="A1563" s="2" t="s">
        <v>1527</v>
      </c>
      <c r="B1563" s="2" t="s">
        <v>1575</v>
      </c>
      <c r="C1563" s="2" t="s">
        <v>782</v>
      </c>
      <c r="D1563" s="3">
        <v>19176</v>
      </c>
      <c r="E1563" s="3">
        <v>869</v>
      </c>
      <c r="F1563" s="3">
        <v>50</v>
      </c>
      <c r="G1563" s="3" t="s">
        <v>1530</v>
      </c>
      <c r="H1563" s="3" t="str">
        <f ca="1">IFERROR(__xludf.DUMMYFUNCTION("GOOGLETRANSLATE(B1563,""auto"",""en"")"),"Maternal nutrition")</f>
        <v>Maternal nutrition</v>
      </c>
      <c r="I1563" s="3" t="str">
        <f ca="1">IFERROR(__xludf.DUMMYFUNCTION("GOOGLETRANSLATE(C1563,""auto"",""en"")"),"other")</f>
        <v>other</v>
      </c>
    </row>
    <row r="1564" spans="1:9" ht="13" x14ac:dyDescent="0.15">
      <c r="A1564" s="2" t="s">
        <v>1527</v>
      </c>
      <c r="B1564" s="2" t="s">
        <v>1575</v>
      </c>
      <c r="C1564" s="2" t="s">
        <v>1581</v>
      </c>
      <c r="D1564" s="3">
        <v>19176</v>
      </c>
      <c r="E1564" s="3">
        <v>869</v>
      </c>
      <c r="F1564" s="3">
        <v>41</v>
      </c>
      <c r="G1564" s="3" t="s">
        <v>1530</v>
      </c>
      <c r="H1564" s="3" t="str">
        <f ca="1">IFERROR(__xludf.DUMMYFUNCTION("GOOGLETRANSLATE(B1564,""auto"",""en"")"),"Maternal nutrition")</f>
        <v>Maternal nutrition</v>
      </c>
      <c r="I1564" s="3" t="str">
        <f ca="1">IFERROR(__xludf.DUMMYFUNCTION("GOOGLETRANSLATE(C1564,""auto"",""en"")"),"Maternal probiotics")</f>
        <v>Maternal probiotics</v>
      </c>
    </row>
    <row r="1565" spans="1:9" ht="13" x14ac:dyDescent="0.15">
      <c r="A1565" s="2" t="s">
        <v>1527</v>
      </c>
      <c r="B1565" s="2" t="s">
        <v>1575</v>
      </c>
      <c r="C1565" s="2" t="s">
        <v>1582</v>
      </c>
      <c r="D1565" s="3">
        <v>19176</v>
      </c>
      <c r="E1565" s="3">
        <v>869</v>
      </c>
      <c r="F1565" s="3">
        <v>8</v>
      </c>
      <c r="G1565" s="3" t="s">
        <v>1530</v>
      </c>
      <c r="H1565" s="3" t="str">
        <f ca="1">IFERROR(__xludf.DUMMYFUNCTION("GOOGLETRANSLATE(B1565,""auto"",""en"")"),"Maternal nutrition")</f>
        <v>Maternal nutrition</v>
      </c>
      <c r="I1565" s="3" t="str">
        <f ca="1">IFERROR(__xludf.DUMMYFUNCTION("GOOGLETRANSLATE(C1565,""auto"",""en"")"),"Maternal colostrum")</f>
        <v>Maternal colostrum</v>
      </c>
    </row>
    <row r="1566" spans="1:9" ht="13" x14ac:dyDescent="0.15">
      <c r="A1566" s="2" t="s">
        <v>1527</v>
      </c>
      <c r="B1566" s="2" t="s">
        <v>1583</v>
      </c>
      <c r="C1566" s="2" t="s">
        <v>1583</v>
      </c>
      <c r="D1566" s="3">
        <v>19176</v>
      </c>
      <c r="E1566" s="3">
        <v>589</v>
      </c>
      <c r="F1566" s="3">
        <v>589</v>
      </c>
      <c r="G1566" s="3" t="s">
        <v>1530</v>
      </c>
      <c r="H1566" s="3" t="str">
        <f ca="1">IFERROR(__xludf.DUMMYFUNCTION("GOOGLETRANSLATE(B1566,""auto"",""en"")"),"Dietary supplements")</f>
        <v>Dietary supplements</v>
      </c>
      <c r="I1566" s="3" t="str">
        <f ca="1">IFERROR(__xludf.DUMMYFUNCTION("GOOGLETRANSLATE(C1566,""auto"",""en"")"),"Dietary supplements")</f>
        <v>Dietary supplements</v>
      </c>
    </row>
    <row r="1567" spans="1:9" ht="13" x14ac:dyDescent="0.15">
      <c r="A1567" s="2" t="s">
        <v>1584</v>
      </c>
      <c r="B1567" s="2" t="s">
        <v>1585</v>
      </c>
      <c r="C1567" s="2" t="s">
        <v>1586</v>
      </c>
      <c r="D1567" s="3">
        <v>394</v>
      </c>
      <c r="E1567" s="3">
        <v>393</v>
      </c>
      <c r="F1567" s="3">
        <v>392</v>
      </c>
      <c r="G1567" s="3" t="s">
        <v>1587</v>
      </c>
      <c r="H1567" s="3" t="str">
        <f ca="1">IFERROR(__xludf.DUMMYFUNCTION("GOOGLETRANSLATE(B1567,""auto"",""en"")"),"Outdoor clothing")</f>
        <v>Outdoor clothing</v>
      </c>
      <c r="I1567" s="3" t="str">
        <f ca="1">IFERROR(__xludf.DUMMYFUNCTION("GOOGLETRANSLATE(C1567,""auto"",""en"")"),"Sun protection clothing")</f>
        <v>Sun protection clothing</v>
      </c>
    </row>
    <row r="1568" spans="1:9" ht="13" x14ac:dyDescent="0.15">
      <c r="A1568" s="2" t="s">
        <v>1584</v>
      </c>
      <c r="B1568" s="2" t="s">
        <v>1585</v>
      </c>
      <c r="C1568" s="2" t="s">
        <v>1588</v>
      </c>
      <c r="D1568" s="3">
        <v>394</v>
      </c>
      <c r="E1568" s="3">
        <v>393</v>
      </c>
      <c r="F1568" s="3">
        <v>1</v>
      </c>
      <c r="G1568" s="3" t="s">
        <v>1587</v>
      </c>
      <c r="H1568" s="3" t="str">
        <f ca="1">IFERROR(__xludf.DUMMYFUNCTION("GOOGLETRANSLATE(B1568,""auto"",""en"")"),"Outdoor clothing")</f>
        <v>Outdoor clothing</v>
      </c>
      <c r="I1568" s="3" t="str">
        <f ca="1">IFERROR(__xludf.DUMMYFUNCTION("GOOGLETRANSLATE(C1568,""auto"",""en"")"),"Yoga clothes")</f>
        <v>Yoga clothes</v>
      </c>
    </row>
    <row r="1569" spans="1:9" ht="13" x14ac:dyDescent="0.15">
      <c r="A1569" s="2" t="s">
        <v>1584</v>
      </c>
      <c r="B1569" s="2" t="s">
        <v>1589</v>
      </c>
      <c r="C1569" s="2" t="s">
        <v>1312</v>
      </c>
      <c r="D1569" s="3">
        <v>394</v>
      </c>
      <c r="E1569" s="3">
        <v>1</v>
      </c>
      <c r="F1569" s="3">
        <v>1</v>
      </c>
      <c r="G1569" s="3" t="s">
        <v>1587</v>
      </c>
      <c r="H1569" s="3" t="str">
        <f ca="1">IFERROR(__xludf.DUMMYFUNCTION("GOOGLETRANSLATE(B1569,""auto"",""en"")"),"outdoor shoes")</f>
        <v>outdoor shoes</v>
      </c>
      <c r="I1569" s="3" t="str">
        <f ca="1">IFERROR(__xludf.DUMMYFUNCTION("GOOGLETRANSLATE(C1569,""auto"",""en"")"),"sports shoes")</f>
        <v>sports shoes</v>
      </c>
    </row>
    <row r="1570" spans="1:9" ht="13" x14ac:dyDescent="0.15">
      <c r="A1570" s="2" t="s">
        <v>1590</v>
      </c>
      <c r="B1570" s="2" t="s">
        <v>1590</v>
      </c>
      <c r="C1570" s="2" t="s">
        <v>1590</v>
      </c>
      <c r="D1570" s="3">
        <v>20</v>
      </c>
      <c r="E1570" s="3">
        <v>20</v>
      </c>
      <c r="F1570" s="3">
        <v>20</v>
      </c>
      <c r="G1570" s="3" t="str">
        <f ca="1">IFERROR(__xludf.DUMMYFUNCTION("GOOGLETRANSLATE(A1570,""auto"",""en"")"),"uncategorized")</f>
        <v>uncategorized</v>
      </c>
      <c r="H1570" s="3" t="str">
        <f ca="1">IFERROR(__xludf.DUMMYFUNCTION("GOOGLETRANSLATE(B1570,""auto"",""en"")"),"uncategorized")</f>
        <v>uncategorized</v>
      </c>
      <c r="I1570" s="3" t="str">
        <f ca="1">IFERROR(__xludf.DUMMYFUNCTION("GOOGLETRANSLATE(C1570,""auto"",""en"")"),"uncategorized")</f>
        <v>uncategorized</v>
      </c>
    </row>
    <row r="1571" spans="1:9" ht="13" x14ac:dyDescent="0.15">
      <c r="A1571" s="2" t="s">
        <v>1591</v>
      </c>
      <c r="B1571" s="2" t="s">
        <v>1592</v>
      </c>
      <c r="C1571" s="2" t="s">
        <v>600</v>
      </c>
      <c r="D1571" s="3">
        <v>4</v>
      </c>
      <c r="E1571" s="3">
        <v>3</v>
      </c>
      <c r="F1571" s="3">
        <v>1</v>
      </c>
      <c r="G1571" s="3" t="s">
        <v>1593</v>
      </c>
      <c r="H1571" s="3" t="str">
        <f ca="1">IFERROR(__xludf.DUMMYFUNCTION("GOOGLETRANSLATE(B1571,""auto"",""en"")"),"Bottoms")</f>
        <v>Bottoms</v>
      </c>
      <c r="I1571" s="3" t="str">
        <f ca="1">IFERROR(__xludf.DUMMYFUNCTION("GOOGLETRANSLATE(C1571,""auto"",""en"")"),"casual trousers")</f>
        <v>casual trousers</v>
      </c>
    </row>
    <row r="1572" spans="1:9" ht="13" x14ac:dyDescent="0.15">
      <c r="A1572" s="2" t="s">
        <v>1591</v>
      </c>
      <c r="B1572" s="2" t="s">
        <v>1592</v>
      </c>
      <c r="C1572" s="2" t="s">
        <v>1592</v>
      </c>
      <c r="D1572" s="3">
        <v>4</v>
      </c>
      <c r="E1572" s="3">
        <v>3</v>
      </c>
      <c r="F1572" s="3">
        <v>1</v>
      </c>
      <c r="G1572" s="3" t="s">
        <v>1593</v>
      </c>
      <c r="H1572" s="3" t="str">
        <f ca="1">IFERROR(__xludf.DUMMYFUNCTION("GOOGLETRANSLATE(B1572,""auto"",""en"")"),"Bottoms")</f>
        <v>Bottoms</v>
      </c>
      <c r="I1572" s="3" t="str">
        <f ca="1">IFERROR(__xludf.DUMMYFUNCTION("GOOGLETRANSLATE(C1572,""auto"",""en"")"),"Bottoms")</f>
        <v>Bottoms</v>
      </c>
    </row>
    <row r="1573" spans="1:9" ht="13" x14ac:dyDescent="0.15">
      <c r="A1573" s="2" t="s">
        <v>1591</v>
      </c>
      <c r="B1573" s="2" t="s">
        <v>1592</v>
      </c>
      <c r="C1573" s="2" t="s">
        <v>607</v>
      </c>
      <c r="D1573" s="3">
        <v>4</v>
      </c>
      <c r="E1573" s="3">
        <v>3</v>
      </c>
      <c r="F1573" s="3">
        <v>1</v>
      </c>
      <c r="G1573" s="3" t="s">
        <v>1593</v>
      </c>
      <c r="H1573" s="3" t="str">
        <f ca="1">IFERROR(__xludf.DUMMYFUNCTION("GOOGLETRANSLATE(B1573,""auto"",""en"")"),"Bottoms")</f>
        <v>Bottoms</v>
      </c>
      <c r="I1573" s="3" t="str">
        <f ca="1">IFERROR(__xludf.DUMMYFUNCTION("GOOGLETRANSLATE(C1573,""auto"",""en"")"),"jeans")</f>
        <v>jeans</v>
      </c>
    </row>
    <row r="1574" spans="1:9" ht="13" x14ac:dyDescent="0.15">
      <c r="A1574" s="2" t="s">
        <v>1591</v>
      </c>
      <c r="B1574" s="2" t="s">
        <v>1594</v>
      </c>
      <c r="C1574" s="2" t="s">
        <v>640</v>
      </c>
      <c r="D1574" s="3">
        <v>4</v>
      </c>
      <c r="E1574" s="3">
        <v>1</v>
      </c>
      <c r="F1574" s="3">
        <v>1</v>
      </c>
      <c r="G1574" s="3" t="s">
        <v>1593</v>
      </c>
      <c r="H1574" s="3" t="str">
        <f ca="1">IFERROR(__xludf.DUMMYFUNCTION("GOOGLETRANSLATE(B1574,""auto"",""en"")"),"Tops")</f>
        <v>Tops</v>
      </c>
      <c r="I1574" s="3" t="str">
        <f ca="1">IFERROR(__xludf.DUMMYFUNCTION("GOOGLETRANSLATE(C1574,""auto"",""en"")"),"Vest / vest")</f>
        <v>Vest / vest</v>
      </c>
    </row>
    <row r="1575" spans="1:9" ht="13" x14ac:dyDescent="0.15">
      <c r="A1575" s="2" t="s">
        <v>1595</v>
      </c>
      <c r="B1575" s="2" t="s">
        <v>1325</v>
      </c>
      <c r="C1575" s="2" t="s">
        <v>1325</v>
      </c>
      <c r="D1575" s="3">
        <v>3</v>
      </c>
      <c r="E1575" s="3">
        <v>2</v>
      </c>
      <c r="F1575" s="3">
        <v>2</v>
      </c>
      <c r="G1575" s="3" t="str">
        <f ca="1">IFERROR(__xludf.DUMMYFUNCTION("GOOGLETRANSLATE(A1575,""auto"",""en"")"),"Men's Shoes")</f>
        <v>Men's Shoes</v>
      </c>
      <c r="H1575" s="3" t="str">
        <f ca="1">IFERROR(__xludf.DUMMYFUNCTION("GOOGLETRANSLATE(B1575,""auto"",""en"")"),"leather shoes")</f>
        <v>leather shoes</v>
      </c>
      <c r="I1575" s="3" t="str">
        <f ca="1">IFERROR(__xludf.DUMMYFUNCTION("GOOGLETRANSLATE(C1575,""auto"",""en"")"),"leather shoes")</f>
        <v>leather shoes</v>
      </c>
    </row>
    <row r="1576" spans="1:9" ht="13" x14ac:dyDescent="0.15">
      <c r="A1576" s="2" t="s">
        <v>1595</v>
      </c>
      <c r="B1576" s="2" t="s">
        <v>1324</v>
      </c>
      <c r="C1576" s="2" t="s">
        <v>1324</v>
      </c>
      <c r="D1576" s="3">
        <v>3</v>
      </c>
      <c r="E1576" s="3">
        <v>1</v>
      </c>
      <c r="F1576" s="3">
        <v>1</v>
      </c>
      <c r="G1576" s="3" t="str">
        <f ca="1">IFERROR(__xludf.DUMMYFUNCTION("GOOGLETRANSLATE(A1576,""auto"",""en"")"),"Men's Shoes")</f>
        <v>Men's Shoes</v>
      </c>
      <c r="H1576" s="3" t="str">
        <f ca="1">IFERROR(__xludf.DUMMYFUNCTION("GOOGLETRANSLATE(B1576,""auto"",""en"")"),"canvas shoes")</f>
        <v>canvas shoes</v>
      </c>
      <c r="I1576" s="3" t="str">
        <f ca="1">IFERROR(__xludf.DUMMYFUNCTION("GOOGLETRANSLATE(C1576,""auto"",""en"")"),"canvas shoes")</f>
        <v>canvas shoes</v>
      </c>
    </row>
  </sheetData>
  <phoneticPr fontId="3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2020-10-05T12:45:28Z</dcterms:modified>
</cp:coreProperties>
</file>